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285" windowWidth="14805" windowHeight="783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Лист1!$A$1:$K$1488</definedName>
  </definedNames>
  <calcPr calcId="145621" iterateDelta="1E-4"/>
</workbook>
</file>

<file path=xl/calcChain.xml><?xml version="1.0" encoding="utf-8"?>
<calcChain xmlns="http://schemas.openxmlformats.org/spreadsheetml/2006/main">
  <c r="G1487" i="1" l="1"/>
  <c r="H1487" i="1"/>
  <c r="I1487" i="1"/>
  <c r="J1487" i="1"/>
  <c r="G1488" i="1"/>
  <c r="H1488" i="1"/>
  <c r="I1488" i="1"/>
  <c r="J1488" i="1"/>
  <c r="F1487" i="1"/>
  <c r="F1488" i="1" s="1"/>
  <c r="G1467" i="1" l="1"/>
  <c r="H1467" i="1"/>
  <c r="I1467" i="1"/>
  <c r="J1467" i="1"/>
  <c r="K1467" i="1"/>
  <c r="F1467" i="1"/>
  <c r="G220" i="1" l="1"/>
  <c r="H220" i="1"/>
  <c r="I220" i="1"/>
  <c r="J220" i="1"/>
  <c r="F220" i="1"/>
  <c r="J1019" i="1"/>
  <c r="I1019" i="1"/>
  <c r="H1019" i="1"/>
  <c r="G1019" i="1"/>
  <c r="F1019" i="1"/>
  <c r="G1459" i="1" l="1"/>
  <c r="J1459" i="1" l="1"/>
  <c r="I1459" i="1"/>
  <c r="H1459" i="1"/>
  <c r="F1459" i="1"/>
  <c r="J1435" i="1"/>
  <c r="I1435" i="1"/>
  <c r="H1435" i="1"/>
  <c r="G1435" i="1"/>
  <c r="F1435" i="1"/>
  <c r="J1411" i="1"/>
  <c r="I1411" i="1"/>
  <c r="G1411" i="1"/>
  <c r="H1396" i="1"/>
  <c r="H1411" i="1" s="1"/>
  <c r="F1392" i="1"/>
  <c r="F1411" i="1" s="1"/>
  <c r="D1392" i="1"/>
  <c r="H1378" i="1"/>
  <c r="G1361" i="1"/>
  <c r="G1378" i="1" s="1"/>
  <c r="F1361" i="1"/>
  <c r="F1378" i="1" s="1"/>
  <c r="J1359" i="1"/>
  <c r="J1378" i="1" s="1"/>
  <c r="I1359" i="1"/>
  <c r="I1378" i="1" s="1"/>
  <c r="J1352" i="1"/>
  <c r="I1352" i="1"/>
  <c r="H1352" i="1"/>
  <c r="G1352" i="1"/>
  <c r="F1352" i="1"/>
  <c r="I1141" i="1"/>
  <c r="G1140" i="1"/>
  <c r="G1138" i="1"/>
  <c r="J1134" i="1"/>
  <c r="H1134" i="1"/>
  <c r="G1134" i="1"/>
  <c r="F1134" i="1"/>
  <c r="J1132" i="1"/>
  <c r="H1132" i="1"/>
  <c r="G1132" i="1"/>
  <c r="F1132" i="1"/>
  <c r="J1130" i="1"/>
  <c r="H1130" i="1"/>
  <c r="G1130" i="1"/>
  <c r="F1130" i="1"/>
  <c r="J1128" i="1"/>
  <c r="H1128" i="1"/>
  <c r="G1128" i="1"/>
  <c r="F1128" i="1"/>
  <c r="J1126" i="1"/>
  <c r="H1126" i="1"/>
  <c r="G1126" i="1"/>
  <c r="F1126" i="1"/>
  <c r="J1124" i="1"/>
  <c r="H1124" i="1"/>
  <c r="G1124" i="1"/>
  <c r="F1124" i="1"/>
  <c r="J1122" i="1"/>
  <c r="J1141" i="1" s="1"/>
  <c r="H1122" i="1"/>
  <c r="H1141" i="1" s="1"/>
  <c r="G1122" i="1"/>
  <c r="F1122" i="1"/>
  <c r="F1141" i="1" s="1"/>
  <c r="J1119" i="1"/>
  <c r="I1119" i="1"/>
  <c r="H1119" i="1"/>
  <c r="G1119" i="1"/>
  <c r="J1092" i="1"/>
  <c r="I1092" i="1"/>
  <c r="H1092" i="1"/>
  <c r="F1030" i="1"/>
  <c r="F1119" i="1" s="1"/>
  <c r="J923" i="1"/>
  <c r="I923" i="1"/>
  <c r="F923" i="1"/>
  <c r="H920" i="1"/>
  <c r="H923" i="1" s="1"/>
  <c r="G920" i="1"/>
  <c r="G923" i="1" s="1"/>
  <c r="G1141" i="1" l="1"/>
  <c r="G911" i="1"/>
  <c r="H911" i="1"/>
  <c r="I911" i="1"/>
  <c r="J911" i="1"/>
  <c r="F911" i="1"/>
  <c r="G905" i="1" l="1"/>
  <c r="H905" i="1"/>
  <c r="I905" i="1"/>
  <c r="J905" i="1"/>
  <c r="F905" i="1"/>
  <c r="F242" i="1" l="1"/>
  <c r="G242" i="1"/>
  <c r="I242" i="1"/>
  <c r="J242" i="1"/>
  <c r="H234" i="1"/>
  <c r="H239" i="1" l="1"/>
  <c r="H242" i="1" s="1"/>
  <c r="G234" i="1"/>
  <c r="I234" i="1"/>
  <c r="J234" i="1"/>
  <c r="F234" i="1"/>
  <c r="G226" i="1"/>
  <c r="H226" i="1"/>
  <c r="I226" i="1"/>
  <c r="J226" i="1"/>
  <c r="F226" i="1"/>
  <c r="G879" i="1" l="1"/>
  <c r="H879" i="1"/>
  <c r="I879" i="1"/>
  <c r="J879" i="1"/>
  <c r="F879" i="1" l="1"/>
  <c r="G504" i="1" l="1"/>
  <c r="H504" i="1"/>
  <c r="I504" i="1"/>
  <c r="J504" i="1"/>
  <c r="F504" i="1"/>
  <c r="H202" i="1" l="1"/>
  <c r="I202" i="1"/>
  <c r="J202" i="1"/>
  <c r="F202" i="1"/>
  <c r="G199" i="1" l="1"/>
  <c r="G197" i="1"/>
  <c r="G195" i="1"/>
  <c r="G202" i="1" l="1"/>
  <c r="F190" i="1"/>
  <c r="I186" i="1"/>
  <c r="H186" i="1"/>
  <c r="J184" i="1"/>
  <c r="I184" i="1"/>
  <c r="H184" i="1"/>
  <c r="J180" i="1"/>
  <c r="I180" i="1"/>
  <c r="H180" i="1"/>
  <c r="G180" i="1"/>
  <c r="G191" i="1" s="1"/>
  <c r="F180" i="1"/>
  <c r="F191" i="1" s="1"/>
  <c r="J179" i="1"/>
  <c r="I179" i="1"/>
  <c r="H179" i="1"/>
  <c r="G179" i="1"/>
  <c r="F179" i="1"/>
  <c r="J176" i="1"/>
  <c r="J191" i="1" l="1"/>
  <c r="H191" i="1"/>
  <c r="I191" i="1"/>
  <c r="G170" i="1"/>
  <c r="G168" i="1"/>
  <c r="G166" i="1"/>
  <c r="G164" i="1"/>
  <c r="H162" i="1"/>
  <c r="G162" i="1"/>
  <c r="I160" i="1"/>
  <c r="H160" i="1"/>
  <c r="G160" i="1"/>
  <c r="G158" i="1"/>
  <c r="H156" i="1"/>
  <c r="G156" i="1"/>
  <c r="J154" i="1"/>
  <c r="I154" i="1"/>
  <c r="H154" i="1"/>
  <c r="G154" i="1"/>
  <c r="J152" i="1"/>
  <c r="I152" i="1"/>
  <c r="H152" i="1"/>
  <c r="G152" i="1"/>
  <c r="G150" i="1"/>
  <c r="J148" i="1"/>
  <c r="I148" i="1"/>
  <c r="H148" i="1"/>
  <c r="G148" i="1"/>
  <c r="G146" i="1"/>
  <c r="G144" i="1"/>
  <c r="J142" i="1"/>
  <c r="I142" i="1"/>
  <c r="H142" i="1"/>
  <c r="G142" i="1"/>
  <c r="G140" i="1"/>
  <c r="J124" i="1"/>
  <c r="I124" i="1"/>
  <c r="H124" i="1"/>
  <c r="G124" i="1"/>
  <c r="I106" i="1"/>
  <c r="H106" i="1"/>
  <c r="G104" i="1"/>
  <c r="G98" i="1"/>
  <c r="H92" i="1"/>
  <c r="G92" i="1"/>
  <c r="F92" i="1"/>
  <c r="G84" i="1"/>
  <c r="I82" i="1"/>
  <c r="G82" i="1"/>
  <c r="G80" i="1"/>
  <c r="G78" i="1"/>
  <c r="G76" i="1"/>
  <c r="I72" i="1"/>
  <c r="G72" i="1"/>
  <c r="J70" i="1"/>
  <c r="I70" i="1"/>
  <c r="H70" i="1"/>
  <c r="G70" i="1"/>
  <c r="J68" i="1"/>
  <c r="H68" i="1"/>
  <c r="G68" i="1"/>
  <c r="G66" i="1"/>
  <c r="G64" i="1"/>
  <c r="G62" i="1"/>
  <c r="F62" i="1"/>
  <c r="G60" i="1"/>
  <c r="G58" i="1"/>
  <c r="G56" i="1"/>
  <c r="G54" i="1"/>
  <c r="G52" i="1"/>
  <c r="G50" i="1"/>
  <c r="J48" i="1"/>
  <c r="I48" i="1"/>
  <c r="H48" i="1"/>
  <c r="G48" i="1"/>
  <c r="G44" i="1"/>
  <c r="G38" i="1"/>
  <c r="I36" i="1"/>
  <c r="G36" i="1"/>
  <c r="J34" i="1"/>
  <c r="I34" i="1"/>
  <c r="H34" i="1"/>
  <c r="G34" i="1"/>
  <c r="G28" i="1"/>
  <c r="H26" i="1"/>
  <c r="G26" i="1"/>
  <c r="H24" i="1"/>
  <c r="J22" i="1"/>
  <c r="H22" i="1"/>
  <c r="G22" i="1"/>
  <c r="J20" i="1"/>
  <c r="H20" i="1"/>
  <c r="G20" i="1"/>
  <c r="G18" i="1"/>
  <c r="J16" i="1"/>
  <c r="G16" i="1"/>
  <c r="J14" i="1"/>
  <c r="G14" i="1"/>
  <c r="G12" i="1"/>
  <c r="J10" i="1"/>
  <c r="I10" i="1"/>
  <c r="H10" i="1"/>
  <c r="G10" i="1"/>
  <c r="J8" i="1"/>
  <c r="I8" i="1"/>
  <c r="H8" i="1"/>
  <c r="G8" i="1"/>
  <c r="J6" i="1"/>
  <c r="I6" i="1"/>
  <c r="H6" i="1"/>
  <c r="G6" i="1"/>
</calcChain>
</file>

<file path=xl/sharedStrings.xml><?xml version="1.0" encoding="utf-8"?>
<sst xmlns="http://schemas.openxmlformats.org/spreadsheetml/2006/main" count="5829" uniqueCount="2193">
  <si>
    <t xml:space="preserve">Сведения о планируемых на 2021 год и на плановый период 2022 и 2023 годов объемах оказания государственных услуг (работ) государственными учреждениями Республики Крым, а также о планируемых объемах их финансового обеспечения в сравнении с ожидаемым исполнением за 2020 год и отчетом за 2019 год </t>
  </si>
  <si>
    <t>№ п/п</t>
  </si>
  <si>
    <t>Наименование государственной услуги (работы)</t>
  </si>
  <si>
    <t>Коды</t>
  </si>
  <si>
    <t>Наименование показателя</t>
  </si>
  <si>
    <t>Единица измерения</t>
  </si>
  <si>
    <t>Факт за 2019 год</t>
  </si>
  <si>
    <t>Оценка за 2020 год</t>
  </si>
  <si>
    <t>План на 2021 год</t>
  </si>
  <si>
    <t>План на 2022 год</t>
  </si>
  <si>
    <t>План на 2023 год</t>
  </si>
  <si>
    <t>1.1</t>
  </si>
  <si>
    <t>Единица</t>
  </si>
  <si>
    <t>1.2</t>
  </si>
  <si>
    <t>1.3</t>
  </si>
  <si>
    <t>1.4</t>
  </si>
  <si>
    <t>1.5</t>
  </si>
  <si>
    <t>1.6</t>
  </si>
  <si>
    <t>1.7</t>
  </si>
  <si>
    <t>1.8</t>
  </si>
  <si>
    <t>Количество человеко-часов</t>
  </si>
  <si>
    <t>1.9</t>
  </si>
  <si>
    <t>1.10</t>
  </si>
  <si>
    <t>единица</t>
  </si>
  <si>
    <t>1</t>
  </si>
  <si>
    <t>Министерство здравоохранения Республики Крым</t>
  </si>
  <si>
    <t>Оказание медицинской помощи при проведении официальных физкультурных, спортивных и массово спортивно-зрелищных мероприятий в соответствии с распорядительными документами субъекта Российской Федерации (выезд)</t>
  </si>
  <si>
    <t>869019.Р.91.1.00720001002</t>
  </si>
  <si>
    <t>Часы работы</t>
  </si>
  <si>
    <t>Час</t>
  </si>
  <si>
    <t>807 0909 4120405590 611</t>
  </si>
  <si>
    <t>тыс.руб</t>
  </si>
  <si>
    <t>Обеспечение готовности к своевременному и эффективному оказанию медицинской помощи, ликвидации эпидемических очагов при стихийных бедствиях, авариях, катастрофах и эпидемиях и ликвидация медико-санитарных последствий чрезвычайных ситуаций в Российской Федерации и за рубежом (отчетов)</t>
  </si>
  <si>
    <t>842519.Р.91.1.00650001001</t>
  </si>
  <si>
    <t>Условная единица</t>
  </si>
  <si>
    <t>Объем субсидий на финансовое обеспечение оказания государственных услуг</t>
  </si>
  <si>
    <t>Работы по профилактике неинфекционных заболеваний, формированию здорового образа жизни и санитарно-гигиеническому просвещению населения</t>
  </si>
  <si>
    <t>862110.Р.91.1.00660001001</t>
  </si>
  <si>
    <t>Количество выполненных работ (единица); количество мероприятий (штука)</t>
  </si>
  <si>
    <t>шт</t>
  </si>
  <si>
    <t>Обеспечение контроля за безопасностью медицинской деятельности, включая проведение необходимых исследований, испытаний, экспертиз, анализов и оценок</t>
  </si>
  <si>
    <t>869019.Р.91.1.00740001001</t>
  </si>
  <si>
    <t>Количество отчетов, количество экспертных заключений</t>
  </si>
  <si>
    <t>ед</t>
  </si>
  <si>
    <t xml:space="preserve">Выполнение экспериментальных научных разработок </t>
  </si>
  <si>
    <t>720000.Р.91.1.01000001001</t>
  </si>
  <si>
    <t>Количество научно-исследовательских работ</t>
  </si>
  <si>
    <t>807 0908 418010И590 611</t>
  </si>
  <si>
    <t>Выполнение поисковых научных исследований</t>
  </si>
  <si>
    <t>720000.Р.91.1.01020001001</t>
  </si>
  <si>
    <t xml:space="preserve">Количество научно-исследовательских работ </t>
  </si>
  <si>
    <t>Ведение информационных ресурсов и баз данных</t>
  </si>
  <si>
    <t>631100.Р.91.1.01460001001</t>
  </si>
  <si>
    <t>Количество записей</t>
  </si>
  <si>
    <t>Проведение прикладных научных исследований</t>
  </si>
  <si>
    <t>720000.Р.91.1.00960002001</t>
  </si>
  <si>
    <t xml:space="preserve">Проведение фундаментальных научных исследований </t>
  </si>
  <si>
    <t>720000.Р.91.1.00980001001</t>
  </si>
  <si>
    <t>Количество публикаций в научных журналах, индексируемых в базе данных «Сеть науки» (WEB of Science)</t>
  </si>
  <si>
    <t>Реализация дополнительных профессиональных программ</t>
  </si>
  <si>
    <t>804200О.99.0.ББ60АА72001</t>
  </si>
  <si>
    <t>человеко-час</t>
  </si>
  <si>
    <t>807 0705 4140106590 621</t>
  </si>
  <si>
    <t>1.11</t>
  </si>
  <si>
    <t>Реализация образовательных программ среднего профессионального образования - программ подготовки специалистов среднего звена</t>
  </si>
  <si>
    <t>852101О.99.0.ББ28ОЗ52000, 852101О.99.0.ББ28ОК69000, 852101О.99.0.ББ28ОМ85000, 852101О.99.0.ББ28ОП00000, 852101О.99.0.ББ28ОЮ96000, 852101О.99.0.ББ28ПГ28000, 852101О.99.0.ББ28ПГ52000</t>
  </si>
  <si>
    <t>Численность обучающихся</t>
  </si>
  <si>
    <t>чел</t>
  </si>
  <si>
    <t>807 0704 4140106590 621</t>
  </si>
  <si>
    <t>1.12</t>
  </si>
  <si>
    <t>Первичная медико-санитарная помощь, не включенная в базовую программу обязательного медицинского страхования (здравпункт)</t>
  </si>
  <si>
    <t>860000О.99.0.АД57АА06003</t>
  </si>
  <si>
    <t>Число посещений</t>
  </si>
  <si>
    <t>усл ед</t>
  </si>
  <si>
    <t>807 0902 4120101590 611</t>
  </si>
  <si>
    <t>1.13</t>
  </si>
  <si>
    <t>Число обращений</t>
  </si>
  <si>
    <t>1.14</t>
  </si>
  <si>
    <t>Первичная медико-санитарная помощь, не включенная в базовую программу обязательного медицинского страхования, по профилю дерматовенерология, в части венерологии</t>
  </si>
  <si>
    <t>860000О.99.0.АД57АА32000</t>
  </si>
  <si>
    <t>Случаев лечения</t>
  </si>
  <si>
    <t>1.15</t>
  </si>
  <si>
    <t xml:space="preserve"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профилям: Дерматовенерология (в части венерологии)
 </t>
  </si>
  <si>
    <t>860000О.99.0.АД59АА07002</t>
  </si>
  <si>
    <t>807 0901 4130102590 611</t>
  </si>
  <si>
    <t>1.16</t>
  </si>
  <si>
    <t>Первичная медико-санитарная помощь, не включенная в базовую программу обязательного медицинского страхования, по профилю венерология</t>
  </si>
  <si>
    <t>860000О.99.0.АД57АА34003</t>
  </si>
  <si>
    <t>1.17</t>
  </si>
  <si>
    <t>1.18</t>
  </si>
  <si>
    <t xml:space="preserve">Первичная медико-санитарная помощь, не включенная в базовую программу ОМС, в части диагностики и лечения. Инфекционные болезни (за исключением ВИЧ-инфекции) </t>
  </si>
  <si>
    <t>860000О.99.0.АД57АА37002</t>
  </si>
  <si>
    <t>1.19</t>
  </si>
  <si>
    <t>1.20</t>
  </si>
  <si>
    <t>Первичная медико-санитарная помощь, не включенная в базовую программу обязательного медицинского страхования (ВИЧ-инфекция)</t>
  </si>
  <si>
    <t>860000О.99.0.АД57АА40002</t>
  </si>
  <si>
    <t>1.21</t>
  </si>
  <si>
    <t>1.22</t>
  </si>
  <si>
    <t xml:space="preserve">Первичная медико-санитарная помощь, не включенная в базовую программу обязательного медицинского страхования, по профилю психиатрия </t>
  </si>
  <si>
    <t>860000О.99.0.АД57АА43003</t>
  </si>
  <si>
    <t>1.23</t>
  </si>
  <si>
    <t>1.24</t>
  </si>
  <si>
    <t xml:space="preserve">Первичная медико-санитарная помощь, не включенная в базовую программу обязательного медицинского страхования, по профилю наркология </t>
  </si>
  <si>
    <t>860000О.99.0.АД57АА46002</t>
  </si>
  <si>
    <t>1.25</t>
  </si>
  <si>
    <t>1.26</t>
  </si>
  <si>
    <t xml:space="preserve">Первичная медико-санитарная помощь, не включенная в базовую программу обязательного медицинского страхования, по профилю фтизиатрия </t>
  </si>
  <si>
    <t>860000О.99.0.АД57АА49002</t>
  </si>
  <si>
    <t>1.27</t>
  </si>
  <si>
    <t>1.28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</si>
  <si>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фтизиатрия</t>
  </si>
  <si>
    <t>860000О.99.0.АД59АА05002</t>
  </si>
  <si>
    <t>1.29</t>
  </si>
  <si>
    <t>Первичная медико-санитарная помощь, не включенная в базовую программу обязательного медицинского страхования, фтизиатрия (форма и условия оказания дневной стационар), по профилю фтизиатрия</t>
  </si>
  <si>
    <t>860000О.99.0.АД57АА47000</t>
  </si>
  <si>
    <t>1.30</t>
  </si>
  <si>
    <t xml:space="preserve">Первичная медико-санитарная помощь, не включенная в базовую программу обязательного медицинского страхования, генетика </t>
  </si>
  <si>
    <t>860000О.99.0.АД57АА83004</t>
  </si>
  <si>
    <t>1.31</t>
  </si>
  <si>
    <t>Количество исследований</t>
  </si>
  <si>
    <t>1.32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</si>
  <si>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по профилю психиатрия</t>
  </si>
  <si>
    <t>860000О.99.0.АД59АА00001</t>
  </si>
  <si>
    <t>Случаев госпитализации</t>
  </si>
  <si>
    <t>1.33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</si>
  <si>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психиатрия</t>
  </si>
  <si>
    <t>860000О.99.0.АД59АА01002</t>
  </si>
  <si>
    <t>1.34</t>
  </si>
  <si>
    <t>Специализированная медицинская помощь (за исключением высокотехнологической медицинской помощи), не включенная в базовую программу обязательного медицинского страхования по профилю наркология</t>
  </si>
  <si>
    <t>860000О.99.0.АД59АА02001</t>
  </si>
  <si>
    <t>1.35</t>
  </si>
  <si>
    <t>Первичная медико-санитарная помощь, не включенная в базовую программу обязательного медицинского страхования по профилю наркология</t>
  </si>
  <si>
    <t>860000О.99.0.АД57АА44000</t>
  </si>
  <si>
    <t>1.36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</si>
  <si>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  по профилю наркология</t>
  </si>
  <si>
    <t>860000О.99.0.АД59АА03002</t>
  </si>
  <si>
    <t>1.37</t>
  </si>
  <si>
    <t>860000О.99.0.АД59АА04001</t>
  </si>
  <si>
    <t>1.38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</si>
  <si>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дерматовенерология, в части венерологии</t>
  </si>
  <si>
    <t>860000О.99.0.АД59АА06001</t>
  </si>
  <si>
    <t>1.39</t>
  </si>
  <si>
    <t>Специализированная медицинская помощь (за исключением высокотехнологичной медицинской помощи), не включенная в базовую программу обязательного медицинского страхования, по профилю ВИЧ-инфекция</t>
  </si>
  <si>
    <t>860000О.99.0.АД59АА08001</t>
  </si>
  <si>
    <t>1.40</t>
  </si>
  <si>
    <t>Скорая, в том числе скорая специализированная, медицинская помощь (за исключением медицинской эвакуации), не включенная в базовую программу обязательного медицинского страхования, (вне мед. организации) (посещ)</t>
  </si>
  <si>
    <t>869000.Р.91.0.07220001001</t>
  </si>
  <si>
    <t>807 0904 4130102590 611</t>
  </si>
  <si>
    <t>1.41</t>
  </si>
  <si>
    <t xml:space="preserve">Скорая, в том числе скорая специализированная, медицинская помощь (за исключением санитарно-авиационной эвакуации), не включенная в базовую программу обязательного медицинского страхования, а также оказание медицинской помощи при чрезвычайных ситуациях </t>
  </si>
  <si>
    <t>860000О.99.0.АД61АА02001</t>
  </si>
  <si>
    <t>Количество вызовов</t>
  </si>
  <si>
    <t>1.42</t>
  </si>
  <si>
    <t>Организация и осуществление медико-санитарного обеспечения населения при ликвидации медико-санитарных последствий чрезвычайных ситуаций</t>
  </si>
  <si>
    <t>869000.Р.91.0.07250001001</t>
  </si>
  <si>
    <t>1.43</t>
  </si>
  <si>
    <t>Оказание экстренной консультативной медицинской помощи, включая медицинскую эвакуацию, медицинским организациям и населению Республики Крым</t>
  </si>
  <si>
    <t>869000.Р.91.0.07240001001</t>
  </si>
  <si>
    <t>1.44</t>
  </si>
  <si>
    <t>Медицинская помощь в экстренной форме незастрахованным гражданам в системе обязательного медицинского страхования</t>
  </si>
  <si>
    <t>860000О.99.0.АЕ65АА00002</t>
  </si>
  <si>
    <t>1.45</t>
  </si>
  <si>
    <t>Оказание консультативно-диагностической помощи медицинскому персоналу и пациентам учреждений здравоохранения Республики Крым с применением телемедицинских технологий</t>
  </si>
  <si>
    <t>869000.Р.91.0.07230001001</t>
  </si>
  <si>
    <t>Количество сеансов</t>
  </si>
  <si>
    <t>усл.ед.</t>
  </si>
  <si>
    <t>1.46</t>
  </si>
  <si>
    <t>Скорая, в том числе скорая специализированная, медицинская помощь (включая медицинскую эвакуацию), не включенная в базовую программу обязательного медицинского страхования, а также оказания медицинской помощи при чрезвычайных ситуациях в части санитарно-авиационной эвакуации (вне мед.организации)</t>
  </si>
  <si>
    <t>860000О.99.0.АД61АА05001</t>
  </si>
  <si>
    <t>1.47</t>
  </si>
  <si>
    <t>Прием, сортировка, оперативный поиск бригад скорой медицинской помощи и передача на исполнение вызовов бригадам скорой медицинской помощи</t>
  </si>
  <si>
    <t>869000.Р.91.1.07270001001</t>
  </si>
  <si>
    <t>1.48</t>
  </si>
  <si>
    <t>Скорая медицинская помощь, оказанная в неотложной форме в части констатации смерти бригадой скорой медицинской помощи</t>
  </si>
  <si>
    <t>869000.Р.91.1.07260001001</t>
  </si>
  <si>
    <t>1.49</t>
  </si>
  <si>
    <t>Паллиативная медицинская помощь</t>
  </si>
  <si>
    <t>860000О.99.0.БЗ68АА04000</t>
  </si>
  <si>
    <t>Количество койко-дней</t>
  </si>
  <si>
    <t>койк дн</t>
  </si>
  <si>
    <t>1.50</t>
  </si>
  <si>
    <t>Санаторно-курортное лечение</t>
  </si>
  <si>
    <t xml:space="preserve">860000О.99.0.АД70АА01000,     860000О.99.0.АД70АА02000,      860000О.99.0.АД70АА03000,      860000О.99.0.АД70АА04000,     860000О.99.0.АД70АА05000,     860000О.99.0.АД70АА06000,      860000О.99.0.АД70АА07000,     860000О.99.0.АД70АА09000,      860000О.99.0.АД70АА10000,     860000О.99.0.АД70АА12000,     860000О.99.0.АД70АА13000                   </t>
  </si>
  <si>
    <t>807 0905 4170103590 611            807 0905 4170103590 621</t>
  </si>
  <si>
    <t>1.51</t>
  </si>
  <si>
    <t>Оказание медицинской (в том числе психиатрической), социальной и психолого-педагогической помощи детям, находящимся в трудной жизненной ситуации</t>
  </si>
  <si>
    <t>860000О.99.0.АД85АА00000</t>
  </si>
  <si>
    <t>Число пациентов</t>
  </si>
  <si>
    <t>807 0901 4120504590 611</t>
  </si>
  <si>
    <t>1.52</t>
  </si>
  <si>
    <t>1.53</t>
  </si>
  <si>
    <t>1.54</t>
  </si>
  <si>
    <t>Высокотехнологичная медицинская помощь, не включенная в базовую программу обязательного медицинского страхования по профилю (Абдоминальная хирургия)</t>
  </si>
  <si>
    <t>861000О.99.0.АЖ04АА00001</t>
  </si>
  <si>
    <t>807 0901 41305R4020 611</t>
  </si>
  <si>
    <t>1.55</t>
  </si>
  <si>
    <t>Высокотехнологичная медицинская помощь, не включенная в базовую программу обязательного медицинского страхования по профилю (Сердечно-сосудистая хирургия)</t>
  </si>
  <si>
    <t xml:space="preserve">861000О.99.0.АЖ04АА41001,    861000О.99.0.АЖ04АА38001,   861000О.99.0.АЖ04АТ80001,     861000О.99.0.АЖ04АТ79001,    861000О.99.0.АЖ04АА40001,    861000О.99.0.АЖ04АА39001         </t>
  </si>
  <si>
    <t>1.56</t>
  </si>
  <si>
    <t>Высокотехнологичная медицинская помощь, не включенная в базовую программу обязательного медицинского страхования по профилю (Акушерство и гинекология)</t>
  </si>
  <si>
    <t>861000О.99.0.АЖ04АА03001</t>
  </si>
  <si>
    <t>1.57</t>
  </si>
  <si>
    <t>Высокотехнологичная медицинская помощь, не включенная в базовую программу обязательного медицинского страхования по профилю (Детская хирургия в период новорожденности)</t>
  </si>
  <si>
    <t>861000О.99.0.АЖ04АА07000</t>
  </si>
  <si>
    <t>1.58</t>
  </si>
  <si>
    <t>Высокотехнологичная медицинская помощь, не включенная в базовую программу обязательного медицинского страхования по профилю (Комбустиология)</t>
  </si>
  <si>
    <t>861000О.99.0.АЖ04АА08001</t>
  </si>
  <si>
    <t>1.59</t>
  </si>
  <si>
    <t>Высокотехнологичная медицинская помощь, не включенная в базовую программу обязательного медицинского страхования по профилю (Травматология и ортопедия)</t>
  </si>
  <si>
    <t xml:space="preserve">861000О.99.0.АЖ04АА51001,   861000О.99.0.АЖ04АА52001,   861000О.99.0.АЖ04АА53001,   861000О.99.0.АЖ04АЛ20001,   861000О.99.0.АЖ04АУ58001       </t>
  </si>
  <si>
    <t>1.60</t>
  </si>
  <si>
    <t>Высокотехнологичная медицинская помощь, не включенная в базовую программу обязательного медицинского страхования по профилю (Нейрохирургия)</t>
  </si>
  <si>
    <t xml:space="preserve">861000О.99.0.АЖ04АА14001,  861000О.99.0.АЖ04АА10001,   861000О.99.0.АЖ04АА11001,    861000О.99.0.АЖ04АА11001,   861000О.99.0.АЖ04АА12001,  861000О.99.0.АЖ04АА10001,   861000О.99.0.АЖ04АА12001           </t>
  </si>
  <si>
    <t>1.61</t>
  </si>
  <si>
    <t>Высокотехнологичная медицинская помощь, не включенная в базовую программу обязательного медицинского страхования по профилю (Онкология)</t>
  </si>
  <si>
    <t xml:space="preserve">861000О.99.0.АЖ04АА17001,   861000О.99.0.АЖ04АА16001,   861000О.99.0.АЖ04АА18001,   861000О.99.0.АЖ04АА23001       </t>
  </si>
  <si>
    <t>1.62</t>
  </si>
  <si>
    <t>Высокотехнологичная медицинская помощь, не включенная в базовую программу обязательного медицинского страхования по профилю (Оториноларингология)</t>
  </si>
  <si>
    <t>861000О.99.0.АЖ04АС59001</t>
  </si>
  <si>
    <t>1.63</t>
  </si>
  <si>
    <t>Высокотехнологичная медицинская помощь, не включенная в базовую программу обязательного медицинского страхования по профилю (Офтальмология)</t>
  </si>
  <si>
    <t xml:space="preserve">861000О.99.0.АЖ04АС97001,   861000О.99.0.АЖ04АС99001,   861000О.99.0.АЖ04АС99001    </t>
  </si>
  <si>
    <t>1.64</t>
  </si>
  <si>
    <t>Высокотехнологичная медицинская помощь, не включенная в базовую программу обязательного медицинского страхования по профилю (Педиатрия)</t>
  </si>
  <si>
    <t xml:space="preserve">861000О.99.0.АЖ04АТ38001,   861000О.99.0.АЖ04АТ39001,   861000О.99.0.АЖ04АТ40001     </t>
  </si>
  <si>
    <t>1.65</t>
  </si>
  <si>
    <t>Высокотехнологичная медицинская помощь, не включенная в базовую программу обязательного медицинского страхования по профилю (Урология)</t>
  </si>
  <si>
    <t xml:space="preserve">861000О.99.0.АЖ04АФ37001,   861000О.99.0.АЖ04АФ36001,   861000О.99.0.АЖ04АФ37001  </t>
  </si>
  <si>
    <t>1.66</t>
  </si>
  <si>
    <t>Высокотехнологичная медицинская помощь, не включенная в базовую программу обязательного медицинского страхования по профилю (Челюстно-лицевая хирургия )</t>
  </si>
  <si>
    <t>861000О.99.0.АЖ04АФ75001</t>
  </si>
  <si>
    <t>1.67</t>
  </si>
  <si>
    <t>Высокотехнологичная медицинская помощь, не включенная в базовую программу обязательного медицинского страхования по профилю (Эндокринология)</t>
  </si>
  <si>
    <t>861000О.99.0.АЖ04АХ14001</t>
  </si>
  <si>
    <t>1.68</t>
  </si>
  <si>
    <t xml:space="preserve">Патологическая анатомия </t>
  </si>
  <si>
    <t>861010.Р.91.1.00680001001</t>
  </si>
  <si>
    <t xml:space="preserve">Количество исследований; Количество вскрытий </t>
  </si>
  <si>
    <t>1.69</t>
  </si>
  <si>
    <t>Медицинское освидетельствование на состояние опьянения (алкогольного, наркотического или иного токсического)</t>
  </si>
  <si>
    <t>861010.Р.91.1.00690001001</t>
  </si>
  <si>
    <t>Кол-во освидетельствований</t>
  </si>
  <si>
    <t>1.70</t>
  </si>
  <si>
    <t xml:space="preserve">Экспертиза профессиональной пригодности и экспертиза связи заболевания с профессией </t>
  </si>
  <si>
    <t>862110.Р.91.1.00670001001</t>
  </si>
  <si>
    <t>Количество экспертиз</t>
  </si>
  <si>
    <t>807 0902 4120405590 611</t>
  </si>
  <si>
    <t>1.71</t>
  </si>
  <si>
    <t>Судебно-медицинская экспертиза по материалам дела</t>
  </si>
  <si>
    <t>869019.Р.91.1.00610003001</t>
  </si>
  <si>
    <t xml:space="preserve">Количество экспертиз; количество исследований </t>
  </si>
  <si>
    <t>1.72</t>
  </si>
  <si>
    <t>Судебно-медицинская экспертиза вещественных доказательств (биологических, химических, гистологических, цитологических и медико-криминалистических) объектов</t>
  </si>
  <si>
    <t>869019.Р.91.1.00610002001</t>
  </si>
  <si>
    <t>1.73</t>
  </si>
  <si>
    <t>Судебно-медицинская экспертиза трупов</t>
  </si>
  <si>
    <t>869019.Р.91.1.00610004001</t>
  </si>
  <si>
    <t>1.74</t>
  </si>
  <si>
    <t>Судебно-медицинская экспертиза потерпевших, обвиняемых и др. живых лиц (биологических, химических, гистологических, цитологических и медико-криминалистических) объектов</t>
  </si>
  <si>
    <t>869019.Р.91.1.00610005001</t>
  </si>
  <si>
    <t>1.75</t>
  </si>
  <si>
    <t>Судебно-психиатрическая экспертиза</t>
  </si>
  <si>
    <t>869019.Р.91.1.00620001001</t>
  </si>
  <si>
    <t>Количество экспертиз (условная единица)</t>
  </si>
  <si>
    <t>1.76</t>
  </si>
  <si>
    <t xml:space="preserve">Заготовка, хранение, транспортировка и обеспечение безопасности донорской крови и её компонентов </t>
  </si>
  <si>
    <t>869019.Р.91.1.00640001001</t>
  </si>
  <si>
    <t>Условная единица продукта, переработки (в перерасчете на 1 литр цельной крови) (условная единица)</t>
  </si>
  <si>
    <t>807 0906 4130102590 611</t>
  </si>
  <si>
    <t>1.77</t>
  </si>
  <si>
    <t>Обеспечение мероприятий, направленных на охрану и укрепление здоровья</t>
  </si>
  <si>
    <t>869019.Р.91.1.00700001001</t>
  </si>
  <si>
    <t>Количество мероприятий (штука)</t>
  </si>
  <si>
    <t>1.78</t>
  </si>
  <si>
    <t>Обеспечение специальными и молочными продуктами детского питания</t>
  </si>
  <si>
    <t>869019.Р.91.1.00750001001</t>
  </si>
  <si>
    <t>Количество обслуживаемых лиц (человек)</t>
  </si>
  <si>
    <t>1.79</t>
  </si>
  <si>
    <t>Библиотечное, библиографическое и информационное обслуживание пользователей библиотеки</t>
  </si>
  <si>
    <t>910100О.99.0.ББ83АА00000</t>
  </si>
  <si>
    <t>Количество посещений</t>
  </si>
  <si>
    <t>807 0801 4140107590 611</t>
  </si>
  <si>
    <t>1.80</t>
  </si>
  <si>
    <t>Первичная медико-санитарная помощь, не включенная в базовую программу обязательного медицинского страхования ВИЧ</t>
  </si>
  <si>
    <t>860000О.99.0.АД57АА65004</t>
  </si>
  <si>
    <t>860000О.99.0.БЗ68АА02000</t>
  </si>
  <si>
    <t>Первичная медико-санитарная помощь, не включенная в базовую программу обязательного медицинского страхования по профилю психиатрия</t>
  </si>
  <si>
    <t>860000О.99.0.АД57АА41000</t>
  </si>
  <si>
    <t>Первичная медико-санитарная помощь, не включенная в базовую программу обязательного медицинского страхования паллиативная помощь</t>
  </si>
  <si>
    <t>860000О.99.0.БЗ68АА03000</t>
  </si>
  <si>
    <t>Количество выездов                                                                  Число посещений</t>
  </si>
  <si>
    <t xml:space="preserve">Единица   Условная единица   </t>
  </si>
  <si>
    <t>Медицинская реабилитация при заболеваниях, не входящих в базовую программу обязательного медицинского страхования (амбулаторно)</t>
  </si>
  <si>
    <t>860000О.99.0.АД68АА02004</t>
  </si>
  <si>
    <t>2</t>
  </si>
  <si>
    <t>Итого по Министерству здравоохранения Республики Крым</t>
  </si>
  <si>
    <t>Объем субсидий на финансовое обеспечение оказания государственных услуг (выполнение работ)</t>
  </si>
  <si>
    <t>Министерство труда и социальной защиты Республики Крым</t>
  </si>
  <si>
    <t>Предоставление социального обслуживания в 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</t>
  </si>
  <si>
    <t>870000О.99.0.АЭ20АА01000</t>
  </si>
  <si>
    <t>Численность граждан, получивших социальные услуги</t>
  </si>
  <si>
    <t>чел.</t>
  </si>
  <si>
    <t>Объем субсидий на финансовое обеспечение оказания государственных услуг (выполнения работ)</t>
  </si>
  <si>
    <t>тыс. руб.</t>
  </si>
  <si>
    <t>870000О.99.0.АЭ24АА01000</t>
  </si>
  <si>
    <t>Предоставление социального обслуживания в полустационарной форме,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</si>
  <si>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870000О.99.0.АЭ25АА01000</t>
  </si>
  <si>
    <t>Предоставление социального обслуживания в форме на дому, включая оказание социально-бытовых услуг, социально-медицинских услуг, социально-психологических услуг, социально-педагогических услуг, 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жизнедеятельности, в том числе детей-инвалидов, срочных социальных услуг</t>
  </si>
  <si>
    <t>Санаторно- курортное лечение</t>
  </si>
  <si>
    <t>860000О.99.0.АД70АА00000</t>
  </si>
  <si>
    <t>количество койко-дней</t>
  </si>
  <si>
    <t>койко-дни</t>
  </si>
  <si>
    <t>Итого по Министерству труда и социальной защиты Республики Крым</t>
  </si>
  <si>
    <t>Итого по Государственному комитету молодежной политики Республики Крым</t>
  </si>
  <si>
    <t>Организация мероприятий в сфере молодежной политики, направленных на вовлечение молодежи в инновационную, предпринимательскую, добровольческую деятельность, а также на развитие гражданской активности молодежи и формирование здорового образа жизни</t>
  </si>
  <si>
    <t>841200.Р.91.1.00770001001</t>
  </si>
  <si>
    <t>Количество мероприятий</t>
  </si>
  <si>
    <t>8510707473030В590621</t>
  </si>
  <si>
    <t>8510707472020П590611</t>
  </si>
  <si>
    <t>Организация мероприятий в сфере молодежной политики, направленных на гражданское и патриотическое воспитание молодежи, воспитание толерантности в молодежной среде, формирование правовых, культурных и нравственных ценностей среди молодежи</t>
  </si>
  <si>
    <t>841200.Р.91.1.00800001001</t>
  </si>
  <si>
    <t>Организация мероприятий в сфере молодежной политики, направленных на формирование системы развития талантливой и инициативной молодежи, создание условий для самореализации подростков и молодежи, развитие творческого, профессионального, интеллектуального потенциалов подростков и молодежи</t>
  </si>
  <si>
    <t xml:space="preserve"> 841200.Р.91.1.00830001001</t>
  </si>
  <si>
    <t>Реализация дополнительных общеразвивающих программ</t>
  </si>
  <si>
    <t xml:space="preserve"> 804200О.99.0.ББ52АЖ24000</t>
  </si>
  <si>
    <t>Человеко-час</t>
  </si>
  <si>
    <t>880000О.99.0.АЭ26АА01000</t>
  </si>
  <si>
    <t>80810022510100596611</t>
  </si>
  <si>
    <t>80810022510100597611</t>
  </si>
  <si>
    <t>80809054170103590611</t>
  </si>
  <si>
    <t>Государственный комитет молодежной политики Республики Крым</t>
  </si>
  <si>
    <t>3</t>
  </si>
  <si>
    <t>4</t>
  </si>
  <si>
    <t>Осуществление издательской деятельности</t>
  </si>
  <si>
    <t>581300.Р.91.0.00780003001</t>
  </si>
  <si>
    <t>Объем тиража</t>
  </si>
  <si>
    <t>штука</t>
  </si>
  <si>
    <t>лист печатный</t>
  </si>
  <si>
    <t>Количество номеров</t>
  </si>
  <si>
    <t>581300.Р.91.0.00780004001</t>
  </si>
  <si>
    <t>581400.Р.91.0.00780001001</t>
  </si>
  <si>
    <t>Количество печатных страниц</t>
  </si>
  <si>
    <t>Объем журнала</t>
  </si>
  <si>
    <t>581400.Р.91.0.00780002001</t>
  </si>
  <si>
    <t>Освещение деятельности органов государственной власти</t>
  </si>
  <si>
    <t>639100.Р.91.1.00860001001</t>
  </si>
  <si>
    <t>Количество информационных материалов</t>
  </si>
  <si>
    <t>813 1202 2260000590 611</t>
  </si>
  <si>
    <t>1.81</t>
  </si>
  <si>
    <t>1.82</t>
  </si>
  <si>
    <t>1.84</t>
  </si>
  <si>
    <t>1.83</t>
  </si>
  <si>
    <t>Управление делами Государственного Совета Республики Крым</t>
  </si>
  <si>
    <t>5</t>
  </si>
  <si>
    <t>Информационное освещение деятельности органов государственной власти в официальном печатном издании Государственного Совета Республики Крым-газете "Крымские известия"</t>
  </si>
  <si>
    <t>0086</t>
  </si>
  <si>
    <t>801 1202 9310098700 611</t>
  </si>
  <si>
    <t>Количество номеров газеты</t>
  </si>
  <si>
    <t>Итого по Управлению делами Государственного Совета Республики Крым</t>
  </si>
  <si>
    <t>6</t>
  </si>
  <si>
    <t>Министерство культуры Республики Крым</t>
  </si>
  <si>
    <t>810 0801 3210100590 611</t>
  </si>
  <si>
    <t>810 0801 3210100590 621</t>
  </si>
  <si>
    <t>Публичный показ музейных предметов, музейных коллекций</t>
  </si>
  <si>
    <t>810 0706 3210100590 611</t>
  </si>
  <si>
    <t>810 0704 3210100590 611</t>
  </si>
  <si>
    <t>число зрителей</t>
  </si>
  <si>
    <t>человек</t>
  </si>
  <si>
    <t>810 0802 3210100590 611</t>
  </si>
  <si>
    <t>Число зрителей</t>
  </si>
  <si>
    <t>810 0804 3210100590 621</t>
  </si>
  <si>
    <t>единиц</t>
  </si>
  <si>
    <t>Количество участников мероприятий</t>
  </si>
  <si>
    <t>810 0801 3220100590 611</t>
  </si>
  <si>
    <t>Количество посетителей</t>
  </si>
  <si>
    <t>Площадь территории</t>
  </si>
  <si>
    <t>кв. м.</t>
  </si>
  <si>
    <t>Количество экспозиций</t>
  </si>
  <si>
    <t>Публичный показ музейных предметов, музейных коллекций в стационарных условиях (бесплатно)</t>
  </si>
  <si>
    <t>910200О.99.0.ББ82АА00000</t>
  </si>
  <si>
    <t>Публичный показ музейных предметов, музейных коллекций в стационарных условиях (платно)</t>
  </si>
  <si>
    <t>910200О.99.0.ББ69АА00000</t>
  </si>
  <si>
    <t>Создание экспозиций (выставок) музеев, организация выездных мероприятий               (в стационарных условиях, платно/бесплатно)</t>
  </si>
  <si>
    <t>910210.Р.91.1.00570002001</t>
  </si>
  <si>
    <t>Создание экспозиций (выставок) музеев, организация выездных мероприятий            (в стационарных условиях, платно/бесплатно)</t>
  </si>
  <si>
    <t>Создание экспозиций (выставок) музеев, организация выездных мероприятий        (вне стационара, платно/бесплатно)</t>
  </si>
  <si>
    <t>910210.Р.91.1.00570003001</t>
  </si>
  <si>
    <t>Создание экспозиций (выставок) музеев, организация выездных мероприятий              (вне стационара, платно/бесплатно)</t>
  </si>
  <si>
    <t>Формирование и учет, изучение, обеспечение физического сохранения и безопасности музейных предметов, музейных коллекций (Комплектование, учет, хранение, обеспечение сохранности предметов МФРФ)</t>
  </si>
  <si>
    <t>910210.Р.91.1.01550001001</t>
  </si>
  <si>
    <t>Количество предметов</t>
  </si>
  <si>
    <t>910210.Р.91.1.00230006001</t>
  </si>
  <si>
    <t>Обеспечение сохранения и использование объектов культ. наследия (Сохранение и использование объектов культурного наследия)</t>
  </si>
  <si>
    <t>910210.Р.91.1.00550001001</t>
  </si>
  <si>
    <t>Количество объектов культурного наследия</t>
  </si>
  <si>
    <t>Обеспечение сохранности и целостности историко-культурного комплекса, исторической среды и ландшафтов</t>
  </si>
  <si>
    <t>910210.Р.91.1.00520001001</t>
  </si>
  <si>
    <t>Кв.м</t>
  </si>
  <si>
    <t>Осуществление реставрации и консервации музейных предметов (Реставрация и консервация музейных предметов)</t>
  </si>
  <si>
    <t>910210.Р.91.1.00560001001</t>
  </si>
  <si>
    <t xml:space="preserve">Библиотечное, библиографическое 
и информационное об-служивание пользовате-лей библиотеки
 (в стационарных усло-виях)
</t>
  </si>
  <si>
    <t xml:space="preserve">
910111.Р.91.0.00280002001
</t>
  </si>
  <si>
    <t xml:space="preserve">Библиотечное, библиографическое 
и информационное об-служивание пользовате-лей библиотеки 
(удаленно через сеть Интернет)
</t>
  </si>
  <si>
    <t xml:space="preserve">910111.Р.91.0.00280001001
</t>
  </si>
  <si>
    <t xml:space="preserve">Библиотечное, библиографическое 
и информационное об-служивание пользовате-лей библиотеки 
(вне стационара)
</t>
  </si>
  <si>
    <t xml:space="preserve">
910111.Р.91.0.00280003001
</t>
  </si>
  <si>
    <t>Формирование, учет, изучение, обеспечение физического сохранения и безопасности фондов библиотек, включая оцифровку фондов</t>
  </si>
  <si>
    <t>910111.Р.91.1.00260002002</t>
  </si>
  <si>
    <t>Количество документов</t>
  </si>
  <si>
    <t>Формирование, учет, изучение, обеспечение физического сохранения и безопасности фондов библиотек включая оцифровку фондов (Комплектование, учет, хранение, обеспечение сохранности фонда библиотек)</t>
  </si>
  <si>
    <t>Библиографическая обработка документов и создание каталогов</t>
  </si>
  <si>
    <t>910111.Р.91.1.00390001001</t>
  </si>
  <si>
    <t>Количество внесенных библиогра-фических записей в каталоги (количество документов)</t>
  </si>
  <si>
    <t xml:space="preserve">Осуществление стабилизации, реставра-ции 
и консервации
библиотечного фонда, включая книжные па-мятники
</t>
  </si>
  <si>
    <t xml:space="preserve">910111.Р.91.1.00300001001
</t>
  </si>
  <si>
    <t>Количество предметов (листов)</t>
  </si>
  <si>
    <t xml:space="preserve">Методическое обеспечение в области библиотечного дела (проведение методиче-ских мероприятий
(семинаров, конферен-ций, творческих лабора-торий
</t>
  </si>
  <si>
    <t>910111.Р.91.1.00470001001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</si>
  <si>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"43.00.00 СЕРВИС И ТУРИЗМ"  для контингента, принятого на обучение на 1 курс с 01.09.2015</t>
  </si>
  <si>
    <t>852201О.99.0.ББ32ДН00000</t>
  </si>
  <si>
    <t>Количество обучающихся</t>
  </si>
  <si>
    <t>852201О.99.0.ББ32ДН24000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</si>
  <si>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"51.00.00 КУЛЬТУРОВЕДЕНИЕ И СОЦИОКУЛЬТУРНЫЕ ПРОЕКТЫ" для контингента, принятого на обучение на 1 курс с 01.09.2015 г</t>
  </si>
  <si>
    <t>852201О.99.0.ББ32ЕК92000</t>
  </si>
  <si>
    <t>852201О.99.0.ББ32ЕЛ64000</t>
  </si>
  <si>
    <t>852201О.99.0.ББ32ЕМ36000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</si>
  <si>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"52.00.00 СЦЕНИЧЕСКИЕ ИСКУССТВА И ЛИТЕРАТУРНОЕ ТВОРЧЕСТВО" для контингента, принятого на обучение на 1 курс с 01.09.2015 г</t>
  </si>
  <si>
    <t>852201О.99.0.ББ32ЕН80000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</si>
  <si>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"53.00.00 МУЗЫКАЛЬНОЕ ИСКУССТВО" для контингента, принятого на обучение на 1 курс с 01.09.2015 г</t>
  </si>
  <si>
    <t>852201О.99.0.ББ32ЕУ56000</t>
  </si>
  <si>
    <t>Реализация основных профессиональных образовательных программ высшего образования - программ специалитета по укрупненной группе направлений подготовки "52.00.00 СЦЕНИЧЕСКИЕ ИСКУССТВА И ЛИТЕРАТУРНОЕ ТВОРЧЕСТВО" для контингента, принятого на обучение на 1 курс с 01.09.2015 г</t>
  </si>
  <si>
    <t>852202О.99.0.ББ36ВЧ64000</t>
  </si>
  <si>
    <t>Реализация основных профессиональных образовательных программ высшего образования - программ магистратуры по укрупненной группе направлений подготовки "51.00.00 КУЛЬТУРОВЕДЕНИЕ И СОЦИОКУЛЬТУРНЫЕ ПРОЕКТЫ" для контингента, принятого на обучение на 1 курс с 01.09.2015 г</t>
  </si>
  <si>
    <t>852203О.99.0.ББ40ЕН80000</t>
  </si>
  <si>
    <t>852203О.99.0.ББ40ЕО52000</t>
  </si>
  <si>
    <t>852203О.99.0.ББ40ЕП24000</t>
  </si>
  <si>
    <t>Реализация основных профессиональных образовательных программ высшего образования - программ магистратуры по укрупненной группе направлений подготовки "52.00.00 СЦЕНИЧЕСКИЕ ИСКУССТВА И ЛИТЕРАТУРНОЕ ТВОРЧЕСТВО" для контингента, принятого на обучение на 1 курс с 01.09.2015 г</t>
  </si>
  <si>
    <t>852203О.99.0.ББ40ЕР68000</t>
  </si>
  <si>
    <t>Реализация основных профессиональных образовательных программ высшего образования - программ магистратуры по укрупненной группе направлений подготовки "52.04.01 Хореографическое искусство" для контингента, принятого на обучение на 1 курс с 01.09.2015 г</t>
  </si>
  <si>
    <t>852203О.99.0.ББ40ЕР52000</t>
  </si>
  <si>
    <t>852203О.99.0.ББ40ЕТ12000</t>
  </si>
  <si>
    <t>Реализация основных профессиональных образовательных программ высшего образования - программ магистратуры по укрупненной группе направлений подготовки "53.00.00 МУЗЫКАЛЬНОЕ ИСКУССТВО" для контингента, принятого на обучение на 1 курс с 01.09.2015 г</t>
  </si>
  <si>
    <t>852203О.99.0.ББ40ЕУ56000</t>
  </si>
  <si>
    <t>852203О.99.0.ББ40ЕФ28000</t>
  </si>
  <si>
    <t>852201О.99.0.ББ32ДМ84000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</si>
  <si>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"51.03.06 Библиотечно-информационная деятельность"  для контингента, принятого на обучение на 1 курс с 01.09.2015</t>
  </si>
  <si>
    <t>852201О.99.0.ББ32ЕМ60000</t>
  </si>
  <si>
    <t>852201О.99.0.ББ32ЕК76000</t>
  </si>
  <si>
    <t>852201О.99.0.ББ32ЕЛ48000</t>
  </si>
  <si>
    <t>852201О.99.0.ББ32ЕМ20000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</si>
  <si>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"53.03.02 Музыкально-инструментальное искусство" для контингента, принятого на обучение на 1 курс с 01.09.2015 г</t>
  </si>
  <si>
    <t>852201О.99.0.ББ32ЕУ80000</t>
  </si>
  <si>
    <t>852201О.99.0.ББ32ЕУ40000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</si>
  <si>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"54.00.00 ИЗОБРАЗИТЕЛЬНОЕ И ПРИКЛАДНЫЕ ВИДЫ ИСКУССТВ" для контингента, принятого на обучение на 1 курс с 01.09.2015 г</t>
  </si>
  <si>
    <t>852201О.99.0.ББ32ЕЧ72000</t>
  </si>
  <si>
    <t>852202О.99.0.ББ36ВЧ48000</t>
  </si>
  <si>
    <t>852203О.99.0.ББ40ЕН64000</t>
  </si>
  <si>
    <t>852203О.99.0.ББ40ЕО36000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</si>
  <si>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"52.03.01 Хореографическое искусство" для контингента, принятого на обучение на 1 курс с 01.09.2015 г</t>
  </si>
  <si>
    <t>852201О.99.0.ББ32ЕН64000</t>
  </si>
  <si>
    <t>852203О.99.0.ББ40ЕС96000</t>
  </si>
  <si>
    <t>852203О.99.0.ББ40ЕУ40000</t>
  </si>
  <si>
    <t>852203О.99.0.ББ40ЕФ12000</t>
  </si>
  <si>
    <t>Реализация основных профессиональных образовательных программ высшего образования - программ подготовки научно-педагогических кадров в аспирантуре по укрупненной группе направлений подготовки "51.00.00 КУЛЬТУРОВЕДЕНИЕ И СОЦИОКУЛЬТУРНЫЕ ПРОЕКТЫ" для контингента, принятого на обучение на 1 курс с 01.09.2015 г</t>
  </si>
  <si>
    <t>852301О.99.0.ББ50ВС72000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</si>
  <si>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"53.03.03 Вокальное искусство" для контингента, принятого на обучение на 1 курс с 01.09.2015 г</t>
  </si>
  <si>
    <t>852201О.99.0.ББ32ЕФ52000</t>
  </si>
  <si>
    <t>852201О.99.0.ББ32ЕФ60000</t>
  </si>
  <si>
    <t>852201О.99.0.ББ32ЕФ76000</t>
  </si>
  <si>
    <t>852201О.99.0.ББ32ЕЧ88000</t>
  </si>
  <si>
    <t>852201О.99.0.ББ32ЕЧ96000</t>
  </si>
  <si>
    <t>852203О.99.0.ББ40ДР44000</t>
  </si>
  <si>
    <t>Реализация основных профессиональных образовательных программ высшего образования - программ бакалавриата по укрупненной группе направлений подготовки "43.04.02 Туризм"  для контингента, принятого на обучение на 1 курс с 01.09.2016</t>
  </si>
  <si>
    <t>852203О.99.0.ББ40ДР60000</t>
  </si>
  <si>
    <t>Реализация основных профессиональных образовательных программ высшего образования - программ магистратуры по укрупненной группе направлений подготовки "51.04.06 БИБЛИОТЕЧНО-ИНФОРМАЦИОННАЯ ДЕЯТЕЛЬНОСТЬ" для контингента, принятого на обучение на 1 курс с 01.09.2015 г</t>
  </si>
  <si>
    <t>852203О.99.0.ББ40ЕП48000</t>
  </si>
  <si>
    <t>852203О.99.0.ББ40ЕТ20000</t>
  </si>
  <si>
    <t>Реализация основных профессиональных образовательных программ высшего образования- программ  магистратуры по укрупненной группе направлений подготовки "43.00.00 СЕРВИС И ТУРИЗМ" для контингента, принятого на обучение на 1 курс с 01.09.2015</t>
  </si>
  <si>
    <t>852203О.99.0.ББ40ЕШ44000</t>
  </si>
  <si>
    <t>Реализация основных профессиональных образовательных программ высшего образования- программ  магистратуры по укрупненной группе направлений подготовки "54.04.01 Дизайн" для контингента, принятого на обучение на 1 курс с 01.09.2016</t>
  </si>
  <si>
    <t>852203О.99.0.ББ40ЕШ60000</t>
  </si>
  <si>
    <t>Реализация дополнительных профессиональных программ повышения квалификации</t>
  </si>
  <si>
    <t>804200О.99.0.ББ60АА76001</t>
  </si>
  <si>
    <t xml:space="preserve"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</t>
  </si>
  <si>
    <t>852101О.99.0.ББ28ФШ12000</t>
  </si>
  <si>
    <t>852101О.99.0.ББ28ФШ36000</t>
  </si>
  <si>
    <t>852101О.99.0.ББ28ФШ84000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</si>
  <si>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"53.00.00 МУЗЫКАЛЬНОЕ ИСКУССТВО"</t>
  </si>
  <si>
    <t>802201О.99.0.ББ24АА00002</t>
  </si>
  <si>
    <t xml:space="preserve">Численность обучающихся 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</si>
  <si>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 на базе среднего общего образования по укрупненной группе направлений подготовки и специальностей (профессий) "53.00.00 МУЗЫКАЛЬНОЕ ИСКУССТВО: 53.02.06 Хоровое дирижирование"</t>
  </si>
  <si>
    <t>802201О.99.0.ББ24АА24002</t>
  </si>
  <si>
    <t>Реализация образовательных программ среднего профессионального образования - программ подготовки специалистов среднего звена"53.02.04 Вокальное искусство"</t>
  </si>
  <si>
    <t>852101О.99.0.ББ28ХИ32000</t>
  </si>
  <si>
    <t>Реализация образовательных программ среднего профессионального образования - программ подготовки специалистов среднего звена "53.02.07 Теория музыки"</t>
  </si>
  <si>
    <t>852101О.99.0.ББ28ХП80000</t>
  </si>
  <si>
    <t>Реализация образовательных программ среднего профессионального образования - программ подготовки специалистов среднего звена. Предоставление   среднего профессионального образования по специальности 54.02.05 Живопись (по видам)</t>
  </si>
  <si>
    <t>852101О.99.0.ББ28ЦГ84000</t>
  </si>
  <si>
    <t>Реализация образовательных программ среднего профессионального образования - программ подготовки специалистов среднего звена. Предоставление   среднего профессионального образования по специальности 54.02.01 Дизайн (по отраслям)</t>
  </si>
  <si>
    <t>852101О.99.0.ББ28ХШ44000</t>
  </si>
  <si>
    <t xml:space="preserve">Показ (организация показа) спектаклей
(театральных постановок)
</t>
  </si>
  <si>
    <t>900400О.99.0.ББ67АА00002</t>
  </si>
  <si>
    <t>Число зрителя</t>
  </si>
  <si>
    <t xml:space="preserve">Показ (организация показа) спектаклей (театральных постановок)
</t>
  </si>
  <si>
    <t>900400О.99.0.ББ67АА01002</t>
  </si>
  <si>
    <t>900400О.99.0.ББ67АА02002</t>
  </si>
  <si>
    <t>9004000.99.0.ББ80АА00000</t>
  </si>
  <si>
    <t>Создание спектаклей</t>
  </si>
  <si>
    <t>900.110.Р.91.1.00350007001</t>
  </si>
  <si>
    <t>Количество новых (капитально-возобновленных) постановок</t>
  </si>
  <si>
    <t>900110.Р.91.1.00350004001</t>
  </si>
  <si>
    <t>Количество новых (капитально возобновленных) постановок</t>
  </si>
  <si>
    <t>900110.Р.91.1.00350003001</t>
  </si>
  <si>
    <t>Количество новых( капитально возобновленных) постановок</t>
  </si>
  <si>
    <t>900110.Р.91.1.00350001001</t>
  </si>
  <si>
    <t>Показ (организация показа) концертов и концертных программ.</t>
  </si>
  <si>
    <t>900100О.99.0.ББ68АА00002</t>
  </si>
  <si>
    <t>900100О.99.0.ББ68АА01002</t>
  </si>
  <si>
    <t>900110.Р.91.0.00330001001</t>
  </si>
  <si>
    <t>Показ (организация показа) концертов и концертных программ постановок)</t>
  </si>
  <si>
    <t>900100О.99.0.ББ68АА02002</t>
  </si>
  <si>
    <t>Показ  (организация показа)  концертов и концертных программ</t>
  </si>
  <si>
    <t>900100О.99.0.ББ81АА01000</t>
  </si>
  <si>
    <t>Создание концертов (концертных  программ)</t>
  </si>
  <si>
    <t>900110.Р.91.1.00460001001</t>
  </si>
  <si>
    <t>Количество созданных концертов (концертных программ)</t>
  </si>
  <si>
    <t>Показ (организация показа) цирковых программ</t>
  </si>
  <si>
    <t>9001010.99.0.ББ75АА00000</t>
  </si>
  <si>
    <t>9001010.99.0.ББ87АА00000</t>
  </si>
  <si>
    <t>900110.Р.91.0.07500001001</t>
  </si>
  <si>
    <t>900110.Р.91.0.07510001001</t>
  </si>
  <si>
    <t>Создание цирковых программ</t>
  </si>
  <si>
    <t>900110.Р.91.1.00360002001</t>
  </si>
  <si>
    <t xml:space="preserve">Количество новых (капитально возобновленных)
постановок
</t>
  </si>
  <si>
    <t>Организация деятельности клубных формирований и формирований самодеятельности народного творчества</t>
  </si>
  <si>
    <t>900110.Р.91.1.00410001001</t>
  </si>
  <si>
    <t>Количество участников</t>
  </si>
  <si>
    <t>Прокат кино и видеофильмов</t>
  </si>
  <si>
    <t>591111.Р.91.0.01510001001</t>
  </si>
  <si>
    <t>Количество выданных копий из фильмофонда</t>
  </si>
  <si>
    <t>Работа по хранению, изучению, популяризации и обеспечению сохранности коллекции фильмофонда</t>
  </si>
  <si>
    <t>591312.Р.91.1.00480001001</t>
  </si>
  <si>
    <t>Количество фильмов, хранимых в фильмофонде</t>
  </si>
  <si>
    <t>Организация и проведение культурно-массовых мероприятий. Мастер-классы</t>
  </si>
  <si>
    <t>900110.Р.91.1.00210007001</t>
  </si>
  <si>
    <t>Организация и проведение культурно-массовых мероприятий. Методических (семинар, конференция)</t>
  </si>
  <si>
    <t>900110.Р.91.1.00210012001</t>
  </si>
  <si>
    <t>Организация и проведение культурно-массовых мероприятий. Творческих (фестиваль, выставка, конкурс, смотр)</t>
  </si>
  <si>
    <t>900110.Р.91.1.00210010001</t>
  </si>
  <si>
    <t>Организация и проведение культурно-массовых мероприятий. Культурно-массовых (иные зрелищные мероприятия)</t>
  </si>
  <si>
    <t>900110.Р.91.1.00210011001</t>
  </si>
  <si>
    <t>Показ кинофильмов</t>
  </si>
  <si>
    <t>591400О.99.0.ББ73АА00000</t>
  </si>
  <si>
    <t>591400О.99.0.ББ85АА01000</t>
  </si>
  <si>
    <t>591400О.99.0.ББ85АА00000</t>
  </si>
  <si>
    <t>591400О.99.0.ББ73АА01000</t>
  </si>
  <si>
    <t>Централизованное обслуживание и содействие в создании необходимых условий по развитию учреждений отрасли культуры</t>
  </si>
  <si>
    <t>711220.Р.91.1.07150001001</t>
  </si>
  <si>
    <t>Количество работ</t>
  </si>
  <si>
    <t>Организация и проведений культурно-массовых мероприятий          (Иные зрелищные мероприятия, бесплатно)</t>
  </si>
  <si>
    <t>Организация и проведений культурно-массовых мероприятий    (Творческие мероприятия (фестиваль, выставка, конкурс, смотр), платно/бесплатно)</t>
  </si>
  <si>
    <t>Организация и проведений культурно-массовых мероприятий (Методические (семинар, конференция))</t>
  </si>
  <si>
    <t>Организация и проведений культурно-массовых мероприятий (Методические (семинар, конференция)</t>
  </si>
  <si>
    <t xml:space="preserve">Организация и проведение мероприятий.
</t>
  </si>
  <si>
    <t>900400О.99.0.ББ84АА00001</t>
  </si>
  <si>
    <t>Количество проведенных мероприятий</t>
  </si>
  <si>
    <t>900400О.99.0.ББ72АА00001</t>
  </si>
  <si>
    <t xml:space="preserve">Предоставление информационно-консультационных услуг
</t>
  </si>
  <si>
    <t>702210.Р.91.0.06720001001</t>
  </si>
  <si>
    <t>Количество обращений</t>
  </si>
  <si>
    <t>Обеспечение сохранения и использования объектов культурного наследия</t>
  </si>
  <si>
    <t>количество объектов культурного наследия</t>
  </si>
  <si>
    <t xml:space="preserve">Публичный показ музейных предметов, музейных коллекций </t>
  </si>
  <si>
    <t>ИТОГО по Министерству культуры Республики Крым</t>
  </si>
  <si>
    <t>Министерство внутренней политики, информации и связи Республики Крым</t>
  </si>
  <si>
    <t>Итого по Министерству внутренней политики, информации и связи Республики Крым</t>
  </si>
  <si>
    <t>931900О.99.0.БВ27АВ84000</t>
  </si>
  <si>
    <t>Число лиц, прошедших спортивную подготовку</t>
  </si>
  <si>
    <t>804110117230Ш590611</t>
  </si>
  <si>
    <t>Объем субсидии</t>
  </si>
  <si>
    <t>931900О.99.0.БВ27АВ83000</t>
  </si>
  <si>
    <t>931900О.99.0.Б В28АА26000</t>
  </si>
  <si>
    <t>931900О.99.0.Б В28АА25000</t>
  </si>
  <si>
    <t>931900О.99.0.БВ28АА26000</t>
  </si>
  <si>
    <t>931900О.99.0.БВ28АА48000</t>
  </si>
  <si>
    <t>931900О.99.0.БВ28АА47000</t>
  </si>
  <si>
    <t>931900О.99.0.БВ28АА46000</t>
  </si>
  <si>
    <t>931900О.99.0.БВ27АВ77000</t>
  </si>
  <si>
    <t xml:space="preserve">931900О.99.0.БВ27АВ76000 </t>
  </si>
  <si>
    <t>931900О.99.0.БВ28АА53000</t>
  </si>
  <si>
    <t>931900О.99.0.БВ28АА52000</t>
  </si>
  <si>
    <t>931900О.99.0.БВ28АА51000</t>
  </si>
  <si>
    <t>931900О.99.0.БВ28АА50000</t>
  </si>
  <si>
    <t>931900О.99.0.БВ27АА26006</t>
  </si>
  <si>
    <t>931900О.99.0.БВ27АА27006</t>
  </si>
  <si>
    <t>931900О.99.0.БВ27АА28006</t>
  </si>
  <si>
    <t>931900О.99.0.Б  В27АА29006</t>
  </si>
  <si>
    <t>931900О.99.0.БВ28АА 63000</t>
  </si>
  <si>
    <t>931900О.99.0.БВ28АА 61000</t>
  </si>
  <si>
    <t>931900О.99.0.БВ28АА 60000</t>
  </si>
  <si>
    <t>931900О.99.0.БВ27АВ82000</t>
  </si>
  <si>
    <t>931900О.99.0.БВ27АВ81000</t>
  </si>
  <si>
    <t>931900О.99.0.БВ27АВ80000</t>
  </si>
  <si>
    <t>931900О.99.0.БВ27АВ79000</t>
  </si>
  <si>
    <t>931900О.99.0.БВ27АА52006</t>
  </si>
  <si>
    <t>931900О.99.0.БВ27АА51006</t>
  </si>
  <si>
    <t>931900О.99.0.БВ27АА56006</t>
  </si>
  <si>
    <t>931900О.99.0.БВ27АА57006</t>
  </si>
  <si>
    <t>931900О.99.0.БВ28АБ 92000</t>
  </si>
  <si>
    <t>931900О.99.0.БВ28АА 91000</t>
  </si>
  <si>
    <t>931900О.99.0.БВ28АА 90000</t>
  </si>
  <si>
    <t>931900О.99.0.БВ28АБ 25000</t>
  </si>
  <si>
    <t>931900О.99.0.БВ27АВ 26000</t>
  </si>
  <si>
    <t>931900О.99.0.БВ27АВ57001</t>
  </si>
  <si>
    <t>931900О.99.0.БВ27АВ 56001</t>
  </si>
  <si>
    <t>931900О.99.0.БВ27АВ 55001</t>
  </si>
  <si>
    <t>931900.О.99.0.БВ28АБ03000</t>
  </si>
  <si>
    <t>931900.О.99.0.БВ28АБ01000</t>
  </si>
  <si>
    <t>931900.О.99.0.БВ28АБ00000</t>
  </si>
  <si>
    <t>931900О.99.0.БВ27АА77006</t>
  </si>
  <si>
    <t>931900О.99.0.БВ27АА76006</t>
  </si>
  <si>
    <t>931900О.99.0.БВ27АБ 84006</t>
  </si>
  <si>
    <t>931900О.99.0.БВ27АБ83006</t>
  </si>
  <si>
    <t>931900О.99.0.БВ27АБ 82006</t>
  </si>
  <si>
    <t>931900О.99.0.БВ27АБ 81006</t>
  </si>
  <si>
    <t>931900О.99.0.БВ27АА87006</t>
  </si>
  <si>
    <t>931900О.99.0.БВ27АА86006</t>
  </si>
  <si>
    <t>931900О.99.0.Б  В28АБ33000</t>
  </si>
  <si>
    <t>931900О.99.0.Б  В28АБ32000</t>
  </si>
  <si>
    <t>931900О.99.0.Б  В28АБ31000</t>
  </si>
  <si>
    <t>931900О.99.0.Б  В28АБ30000</t>
  </si>
  <si>
    <t xml:space="preserve"> 931900О.99.0.БВ27АБ09006</t>
  </si>
  <si>
    <t>931900О.99.0.БВ27АБ08006</t>
  </si>
  <si>
    <t>931900О.99.0.БВ27АБ07006</t>
  </si>
  <si>
    <t>931900О.99.0.БВ27АБ06006</t>
  </si>
  <si>
    <t>931900О.99.0.БВ27АБ 26006</t>
  </si>
  <si>
    <t>931900О.99.0.БВ27АБ 28006</t>
  </si>
  <si>
    <t>931900О.990БИ27АБ3200007</t>
  </si>
  <si>
    <t>931900О.990БИ27АБ3100006</t>
  </si>
  <si>
    <t>931900О.99.0.БВ27АБ 42006</t>
  </si>
  <si>
    <t>931900О.99.0.БВ27АБ 41006</t>
  </si>
  <si>
    <t>931900О.99.0БВ27АБ54006</t>
  </si>
  <si>
    <t>931900О.99.0БВ27АБ53006</t>
  </si>
  <si>
    <t>931900О.99.0БВ27АБ52006</t>
  </si>
  <si>
    <t>931900О.99.0БВ27АБ51006</t>
  </si>
  <si>
    <t>931900О.99.0БВ27АБ98006</t>
  </si>
  <si>
    <t>931900О.99.0БВ27АБ97006</t>
  </si>
  <si>
    <t>931900О.99.0БВ27АБ96006</t>
  </si>
  <si>
    <t>931900О.99.0.БВ27АБ57006</t>
  </si>
  <si>
    <t>931900О.99.0.БВ27АБ56006</t>
  </si>
  <si>
    <t>931900О.99.0.БВ28АВ31000</t>
  </si>
  <si>
    <t>931900О.99.0.БВ28АВ30000</t>
  </si>
  <si>
    <t>931900.О.99.0.БВ27АВ72000</t>
  </si>
  <si>
    <t>931900.О.99.0.БВ27АВ71000</t>
  </si>
  <si>
    <t>931900О.99.0.БВ27АВ 66000</t>
  </si>
  <si>
    <t>931900О.99.0.БВ27АВ 65000</t>
  </si>
  <si>
    <t>931900О.99.0.БВ27АВ 64000</t>
  </si>
  <si>
    <t>931900О.99.0.БВ27АБ82006</t>
  </si>
  <si>
    <t>931900О.99.0.БВ27АБ81006</t>
  </si>
  <si>
    <t>931900О.99.0.БВ27АБ86001</t>
  </si>
  <si>
    <t>931900О.99.0.БВ27АБ85001</t>
  </si>
  <si>
    <t>931900О.99.0.БВ28АВ88000</t>
  </si>
  <si>
    <t>931900О.99.0.БВ28АВ87000</t>
  </si>
  <si>
    <t>931900О.99.0.БВ28АВ86000</t>
  </si>
  <si>
    <t>931900О.99.0.БВ28АВ85000</t>
  </si>
  <si>
    <t>931900О.99.0.БВ27АГ13000</t>
  </si>
  <si>
    <t>931900О.99.0.БВ27АГ11000</t>
  </si>
  <si>
    <t>931900О.99.0.БВ27АГ10000</t>
  </si>
  <si>
    <t>931900.О.99.0.БВ28АГ21000</t>
  </si>
  <si>
    <t>931900.О.99.0.БВ28АГ20000</t>
  </si>
  <si>
    <t>931900О.99.0.БВ27АВ04006</t>
  </si>
  <si>
    <t>931900О.99.0.БВ27АВ03006</t>
  </si>
  <si>
    <t>931900О.99.0.БВ27АВ02006</t>
  </si>
  <si>
    <t>931900О.99.0.БВ27АВ01006</t>
  </si>
  <si>
    <t>931900О.99.0.БВ27АВ 13006</t>
  </si>
  <si>
    <t>931900О.99.0.БВ27АВ12006</t>
  </si>
  <si>
    <t xml:space="preserve">931900О.99.0.БВ27АВ19006 </t>
  </si>
  <si>
    <t>931900О.99.0.БВ27АВ17006</t>
  </si>
  <si>
    <t>931900О.99.0.БВ27АВ16006</t>
  </si>
  <si>
    <t>931900О.99.0.БВ27АВ22006</t>
  </si>
  <si>
    <t>931900О.99.0.БВ27АВ21006</t>
  </si>
  <si>
    <t>931900О.99.0.БВ27АВ37006</t>
  </si>
  <si>
    <t>931900О.99.0.БВ27АВ36006</t>
  </si>
  <si>
    <t>931900О.99.0.БВ27АВ49006</t>
  </si>
  <si>
    <t>931900О.99.0.БВ27АВ47006</t>
  </si>
  <si>
    <t xml:space="preserve">931900О.99.0.БВ27АВ46006 </t>
  </si>
  <si>
    <t>931900О.99.0.БВ27АВ54006</t>
  </si>
  <si>
    <t>931900О.99.0.БВ27АВ53006</t>
  </si>
  <si>
    <t>931900О.99.0.БВ27АВ52006</t>
  </si>
  <si>
    <t>931900О.99.0.БВ27АВ51006</t>
  </si>
  <si>
    <t>931900О.99.0.БВ28АГ66000</t>
  </si>
  <si>
    <t>931900О.99.0.БВ28АГ65000</t>
  </si>
  <si>
    <t>931900О.99.0.БВ28АГ62000</t>
  </si>
  <si>
    <t>931900О.99.0.БВ28АГ61000</t>
  </si>
  <si>
    <t>931900О.99.0.БВ28АГ60000</t>
  </si>
  <si>
    <t>931900О.99.0.БВ28АГ56000</t>
  </si>
  <si>
    <t>931900О.99.0.БВ28АГ55000</t>
  </si>
  <si>
    <t>2.1</t>
  </si>
  <si>
    <t>8040704172030У590611</t>
  </si>
  <si>
    <t>2.2</t>
  </si>
  <si>
    <t>2.3</t>
  </si>
  <si>
    <t>931900О.99.0.БВ27АБ83001</t>
  </si>
  <si>
    <t>2.4</t>
  </si>
  <si>
    <t>931900О.99.0.БВ27АБ82001</t>
  </si>
  <si>
    <t>931900О.99.0.БВ27АБ81001</t>
  </si>
  <si>
    <t>931900О.99.0.БВ27АА88006</t>
  </si>
  <si>
    <t>931900О.99.0.БВ27АВ18006</t>
  </si>
  <si>
    <t>931900О.99.0.БВ27АВ38006</t>
  </si>
  <si>
    <t>Работы по реализации образовательных программ студентов</t>
  </si>
  <si>
    <t>3.1</t>
  </si>
  <si>
    <t>931900О.99.0.БВ33АА31001</t>
  </si>
  <si>
    <t>8041101171040Ж590611</t>
  </si>
  <si>
    <t>3.2</t>
  </si>
  <si>
    <t>931900О.99.0.БВ33АА32002</t>
  </si>
  <si>
    <t>3.3</t>
  </si>
  <si>
    <t>931900О.99.0.БВ33АА47002</t>
  </si>
  <si>
    <t>3.4</t>
  </si>
  <si>
    <t>931900О.99.0.БВ29АА73001</t>
  </si>
  <si>
    <t>931900О.99.0.БВ29АА72001</t>
  </si>
  <si>
    <t>931900О.99.0.БВ29АА71001</t>
  </si>
  <si>
    <t>931900О.99.0.БВ33АА66001</t>
  </si>
  <si>
    <t>931900О.99.0.БВ29АА83002</t>
  </si>
  <si>
    <t>931900О.99.0.БВ29АА81001</t>
  </si>
  <si>
    <t>931900О.99.0.БВ29АА80001</t>
  </si>
  <si>
    <t>931900О.99.0.БВ29АА91001</t>
  </si>
  <si>
    <t>931900О.99.0.БВ29АА91002</t>
  </si>
  <si>
    <t>931900О.99.0.БВ29АБ03001</t>
  </si>
  <si>
    <t>931900О.99.0.БВ33АА82002</t>
  </si>
  <si>
    <t>931900О.99.0.БВ29АБ02002</t>
  </si>
  <si>
    <t>931900О.99.0.БВ29АБ07001</t>
  </si>
  <si>
    <t>931900О.99.0.БВ29АБ06001</t>
  </si>
  <si>
    <t>931900О.99.0.БВ33АА85001</t>
  </si>
  <si>
    <t>931900О.99.0.БВ33АБ11001</t>
  </si>
  <si>
    <t>931900О.99.0.БВ33АБ10001</t>
  </si>
  <si>
    <t>931900О.99.0.БВ30АА81001</t>
  </si>
  <si>
    <t>931900О.99.0.БВ33АБ26001</t>
  </si>
  <si>
    <t>Обеспечение участия спортивных сборных команд в официальных спортивных мероприятиях</t>
  </si>
  <si>
    <t>931000Р.12.1.01290005000</t>
  </si>
  <si>
    <t>количество проведенных мероприятий</t>
  </si>
  <si>
    <t>Организация и проведение официальных спортивных мероприятий</t>
  </si>
  <si>
    <t>931000Р.12.1.01310001000</t>
  </si>
  <si>
    <t>8041103172030Ц590611</t>
  </si>
  <si>
    <t>4.2</t>
  </si>
  <si>
    <t>931900О.99.0.БВ27АБ80001</t>
  </si>
  <si>
    <t>931900О.99.0.БВ27АА86001</t>
  </si>
  <si>
    <t>931900О.99.0.БВ27АА87001</t>
  </si>
  <si>
    <t>931900О.99.0.БВ27АА88001</t>
  </si>
  <si>
    <t>931900О.99.0.БВ27АА85001</t>
  </si>
  <si>
    <t>931900О.99.0.БВ27АБ06001</t>
  </si>
  <si>
    <t>931900О.99.0.БВ27АВ51001</t>
  </si>
  <si>
    <t>931900О.99.0.БВ27АВ50001</t>
  </si>
  <si>
    <t>Организация и проведение физкультурных оздоровительных мероприятий</t>
  </si>
  <si>
    <t>931000.Р.82.1.01280001001</t>
  </si>
  <si>
    <t>Обеспечение участия лиц,проходящих спортивную подготовку в спортивных соревнованиях</t>
  </si>
  <si>
    <t>0931000.Р.82.1.013900030001</t>
  </si>
  <si>
    <t>Организация мероприятийпо научно-методическому обеспечению спортивных сборных команд</t>
  </si>
  <si>
    <t>931000.Р.12.1.01360001000</t>
  </si>
  <si>
    <t>шт.</t>
  </si>
  <si>
    <t>Обеспечение доступа к объектам спорта</t>
  </si>
  <si>
    <t>931000.Р.12.1.01410001000</t>
  </si>
  <si>
    <t>Провендения тестирования выполнения нормативов испытаний (тестов) комплекса ГТО</t>
  </si>
  <si>
    <t>931000.Р.12.1.01340001000</t>
  </si>
  <si>
    <t>Организация мероприятий по подготовке спортивных сборных команд</t>
  </si>
  <si>
    <t>931000.Р.12.1.01320001000</t>
  </si>
  <si>
    <t>Работы по организации и обеспечению подготовки спортивного резерва</t>
  </si>
  <si>
    <t>931000.Р.12.1.01330001000</t>
  </si>
  <si>
    <t>931000.Р.91.1.01310003002</t>
  </si>
  <si>
    <t>5.1</t>
  </si>
  <si>
    <t>Услуги по проведению углубленных  медицинских обследований спортсменов спортивных сборных команд  Республики Крым, амбулаторно</t>
  </si>
  <si>
    <t>861000О.99.0.АЕ72АА04000</t>
  </si>
  <si>
    <t>ед.</t>
  </si>
  <si>
    <t>8040902172030М590611</t>
  </si>
  <si>
    <t>5.2</t>
  </si>
  <si>
    <t>Работы по проведению диспансеризации (посещения), амбулаторно</t>
  </si>
  <si>
    <t>861000О.99.0.АЕ72АА02000</t>
  </si>
  <si>
    <t>Работы по проведению диспансеризации (посещения)</t>
  </si>
  <si>
    <t xml:space="preserve">Работы по оказанию медицинской помощи при проведении официальных физкультурных, спортивных и массово спортивно-зрелищных мероприятий в соответствии с распорядительными документами субъекта Республики Крым </t>
  </si>
  <si>
    <t>ИТОГО по Министерству спорта Республики Крым</t>
  </si>
  <si>
    <t>7</t>
  </si>
  <si>
    <t>Министерство спорта Республики Крым</t>
  </si>
  <si>
    <t>-</t>
  </si>
  <si>
    <t>Обслуживание официальных, представительских и протокольных мероприятий</t>
  </si>
  <si>
    <t>0142</t>
  </si>
  <si>
    <t>801 0113 91N0000590 611</t>
  </si>
  <si>
    <t>Количество обслуживаемых лиц</t>
  </si>
  <si>
    <t>Аппарат Совета министров Республики Крым</t>
  </si>
  <si>
    <t>Итого по Аппарату Совета министров Республики Крым</t>
  </si>
  <si>
    <t>562920.Р.91.0.01420001001</t>
  </si>
  <si>
    <t>802 0113 9150000590 611</t>
  </si>
  <si>
    <t>Содержание (эксплуатация) имущества, ноходящегося в государственной собственности</t>
  </si>
  <si>
    <t>683213.Р.91.1.01210001001</t>
  </si>
  <si>
    <t>Эксплуатируемая площадь</t>
  </si>
  <si>
    <t>квадратный метр</t>
  </si>
  <si>
    <t>802 0113 91L005141Ф 611</t>
  </si>
  <si>
    <t>803 0113 91F005141Ф 611</t>
  </si>
  <si>
    <t>Постоянное Представительство Республики Крым при Президенте Российской Федерации</t>
  </si>
  <si>
    <t>Итого по Постоянному Представительству Республики Крым при Президенте Российской Федерации</t>
  </si>
  <si>
    <t>Предоставление консультационных и методических услуг субъектам инвестиционной деятельности</t>
  </si>
  <si>
    <t>702211.Р.12.0.01480001000</t>
  </si>
  <si>
    <t xml:space="preserve">Количество проведенных консультаций </t>
  </si>
  <si>
    <t>848 0412 91Д0000590 621</t>
  </si>
  <si>
    <t xml:space="preserve">Организация мероприятий  </t>
  </si>
  <si>
    <t>823011.Р.12.1.01500001000</t>
  </si>
  <si>
    <t xml:space="preserve">Количество проведенных мероприятий </t>
  </si>
  <si>
    <t xml:space="preserve">Формирование инвестиционных предложений, 
сопровождение инвестиционных проектов на предпроектной стадии
</t>
  </si>
  <si>
    <t>841310.Р.12.1.01470001000</t>
  </si>
  <si>
    <t xml:space="preserve">Количество выполненных работ  </t>
  </si>
  <si>
    <t>Министерство имущественных и земельных отношений Республики Крым</t>
  </si>
  <si>
    <t>841119.Р.91.0.01440002001</t>
  </si>
  <si>
    <t>841119.Р.91.0.01440003001</t>
  </si>
  <si>
    <t>8150113000000590611</t>
  </si>
  <si>
    <t>841119.Р.91.0.01440004001</t>
  </si>
  <si>
    <t>841119.Р.91.0.01440005001</t>
  </si>
  <si>
    <t>841119.Р.91.1.01450001001</t>
  </si>
  <si>
    <t>841119.Р.91.1.01450004001</t>
  </si>
  <si>
    <t>841119.Р.91.1.01450006001</t>
  </si>
  <si>
    <t>841119.Р.91.1.01450008001</t>
  </si>
  <si>
    <t>841119.Р.91.0.01440007001</t>
  </si>
  <si>
    <t>841119.Р.91.0.01440008001</t>
  </si>
  <si>
    <t>8150113000000590621</t>
  </si>
  <si>
    <t>841119.Р.91.0.01440009001</t>
  </si>
  <si>
    <t>841119.Р.91.0.01440010001</t>
  </si>
  <si>
    <t xml:space="preserve">Управление имуществом, находящимся в государственной собственности </t>
  </si>
  <si>
    <t>Гектар</t>
  </si>
  <si>
    <t>Итого по Министерству имущественных и земельных отношений Республики Крым</t>
  </si>
  <si>
    <t>Количество объектов недвижимого имущества, в отношении которых представлены разъяснения</t>
  </si>
  <si>
    <t>Количество рассмотренных обращений, связанных с ошибками, допущенными при определении кадастровой стоимости</t>
  </si>
  <si>
    <t>Объем предоставленной информации</t>
  </si>
  <si>
    <t>Количество объектов недвижимости, в отношении которых определена кадастровая стоимость</t>
  </si>
  <si>
    <t>Объем собранной информации</t>
  </si>
  <si>
    <t>Количество объектов недвижимости внесенных в ЕГРН</t>
  </si>
  <si>
    <t>Количество объектов</t>
  </si>
  <si>
    <t>\0</t>
  </si>
  <si>
    <t>Государственный комитет конкурентной политики Республики Крым</t>
  </si>
  <si>
    <t>чел/час</t>
  </si>
  <si>
    <t>84307059800000590611</t>
  </si>
  <si>
    <t>Реализация дополнительных профессиональных программ профессиональной переподготовки</t>
  </si>
  <si>
    <t>Итого по Государственному комитету конкурентной политики Республики Крым</t>
  </si>
  <si>
    <t xml:space="preserve"> Количество человеко-часов</t>
  </si>
  <si>
    <t xml:space="preserve">  804200О.99.0ББ59АБ4001</t>
  </si>
  <si>
    <t xml:space="preserve">  804200О.99.0ББ60АА76001</t>
  </si>
  <si>
    <t>Государственный комитет по делам межнациональных отношений Республики Крым</t>
  </si>
  <si>
    <t>Показ (организация показа) концертов и концертных программ</t>
  </si>
  <si>
    <t>900110.P.12.0.00330001000</t>
  </si>
  <si>
    <t>количество мероприятий</t>
  </si>
  <si>
    <t>809080114003R5160611</t>
  </si>
  <si>
    <t>Организация и проведение културно-массовых мероприятий</t>
  </si>
  <si>
    <t>900110.P.12.1.00210003000</t>
  </si>
  <si>
    <t>80908011400300590611</t>
  </si>
  <si>
    <t>Издание социально-значимой литературы на родных языках народов Крыма</t>
  </si>
  <si>
    <t>581400.P.12.0.00840001000</t>
  </si>
  <si>
    <t>Количество изданий</t>
  </si>
  <si>
    <t>809 1202 14004R5160 621</t>
  </si>
  <si>
    <t>Издание и распространение газет и журналов</t>
  </si>
  <si>
    <t>Количество газет и журналов</t>
  </si>
  <si>
    <t>809 1202 1400400590 621</t>
  </si>
  <si>
    <t>Итого по Государственному комитету по делам межнациональных отношений Республики Крым</t>
  </si>
  <si>
    <t>Организация предоставления государственных и муниципальных услуг в многофункциональных центрах предоставления государственных и муниципальных услуг</t>
  </si>
  <si>
    <t>751100Ф.99.0.АЩ57АА01001</t>
  </si>
  <si>
    <t>Количество услуг</t>
  </si>
  <si>
    <t>751100Ф.99.0.АЩ57АА00001</t>
  </si>
  <si>
    <t>841100.Р.91.0.01180001002</t>
  </si>
  <si>
    <t>841100.Р.91.0.01180002001</t>
  </si>
  <si>
    <t>813 0113 2200000590 611</t>
  </si>
  <si>
    <t>Министерство сельского хозяйства Республики Крым</t>
  </si>
  <si>
    <t>Осуществление издательской деятельности (Подготовка материалов для выпуска номера газеты)</t>
  </si>
  <si>
    <t>581320.Р.91.1.00850004001</t>
  </si>
  <si>
    <t>Количество  номеров</t>
  </si>
  <si>
    <t>Штук</t>
  </si>
  <si>
    <t>818 0405 0200098700 611</t>
  </si>
  <si>
    <t>Проведение прикладных научных исследований (В сельскохозяйственной сфере)</t>
  </si>
  <si>
    <t xml:space="preserve"> 721000.Р.91.1.00960001001 </t>
  </si>
  <si>
    <t xml:space="preserve">Единица </t>
  </si>
  <si>
    <t>818 0405 0200000590 611</t>
  </si>
  <si>
    <t>Предоставление консультационной помощи в рамках государственной аграрной политики (Консультирование по направлениям государственной поддержки)</t>
  </si>
  <si>
    <t>749000.Р.91.0.01040001001</t>
  </si>
  <si>
    <t xml:space="preserve">Количество отчетов, составленных по результатам услуги </t>
  </si>
  <si>
    <t>Предоставление консультационной помощи в рамках государственной аграрной политики (Консультирование  по заполнению отчетов, по формам, утвержденным Министерством сельского хозяйства Российской Федерации)</t>
  </si>
  <si>
    <t xml:space="preserve"> 749000.Р.91.0.01040003001</t>
  </si>
  <si>
    <t>Предоставление консультационной помощи в рамках государственной аграрной политики (Консультационные услуги в рамках работы Центра компетенций в сфере сельскохозяйственной кооперации)</t>
  </si>
  <si>
    <t>749000.Р.91.0.01040007001</t>
  </si>
  <si>
    <t>818 0405 021I754800 611</t>
  </si>
  <si>
    <t>Информационно-консультативное сопровождение в сфере развития сельскохозяйственной кооперации и поддержки фермеров (Информационно-консультативное сопровождение в сфере развития сельскохозяйственной кооперации и поддержки фермеров в рамках работы Центра компетенции в сфере сельскохозяйственной кооперации Республики Крым)</t>
  </si>
  <si>
    <t>749000.Р.91.0.07730001001</t>
  </si>
  <si>
    <t>Предоставление консультацицонной помощи в рамках государственной аграрной политики (Консультирование по вопросам развития субъектов малых форм хозяйствования)</t>
  </si>
  <si>
    <t>749000.Р.91.0.01040008001</t>
  </si>
  <si>
    <t>Предоставление консультацицонной помощи в рамках государственной аграрной политики (Проведение конференций, семинаров по вопросам хозяйственной деятельности субъектов малых форм хозяйствования)</t>
  </si>
  <si>
    <t xml:space="preserve">749000.Р.91.0.01040009001 </t>
  </si>
  <si>
    <t>Предоставление консультацицонной помощи в рамках государственной аграрной политики (Консультирование по нормам затрат на посадку, уход, устройство шпалеры и раскорчевку многолетних насаждений)</t>
  </si>
  <si>
    <t xml:space="preserve"> 749000.Р.91.0.01040010001 </t>
  </si>
  <si>
    <t>Предоставление услуг в области животноводства (Консультирование по вопросам автоматизированных систем учета и ведения первичного зоотехнического учета в животноводстве, в том числе племенном)</t>
  </si>
  <si>
    <t xml:space="preserve"> 016200.Р.91.0.01050008001 </t>
  </si>
  <si>
    <t>Количество проведенных консультаций</t>
  </si>
  <si>
    <t>Предоставление услуг в области животноводства (Организация обучения и переаттестация техников - осеменаторов)</t>
  </si>
  <si>
    <t xml:space="preserve"> 016200.Р.91.0.01050009001</t>
  </si>
  <si>
    <t>Количество человек, прошедших обучение</t>
  </si>
  <si>
    <t>Человек</t>
  </si>
  <si>
    <t>Предоставление услуг в области животноводства (Консультирование, подтверждение племсвидетельств согласно поданным заявкам)</t>
  </si>
  <si>
    <t>016200.Р.91.0.01050010001</t>
  </si>
  <si>
    <t>Количество разработанных документов</t>
  </si>
  <si>
    <t>Предоставление услуг в области животноводства (Консультирование, подтверждение племсвидетельств с надлежащей экспертизой племенной продукции (материала), согласно поданным заявкам)</t>
  </si>
  <si>
    <t>016200.Р.91.0.01050011001</t>
  </si>
  <si>
    <t>Количество согласованных  документов</t>
  </si>
  <si>
    <t>Выполнение работ в области животноводства (Организация и проведение мероприятий в отрасли животноводства)</t>
  </si>
  <si>
    <t xml:space="preserve"> 016200.Р.91.1.01060015001</t>
  </si>
  <si>
    <t>Выполнение работ в области животноводства (Анализ использования семени быков-производителей в хозяйствах Республики Крым)</t>
  </si>
  <si>
    <t>016200.Р.91.1.01060005001</t>
  </si>
  <si>
    <t>Количество отчетов</t>
  </si>
  <si>
    <t>Выполнение работ в области животноводства (Мониторинг закупок и реализации молодняка сельскохозяйственных животных с целью ведения базы данных "Реализационная площадка племенных животных")</t>
  </si>
  <si>
    <t xml:space="preserve"> 016200.Р.91.1.01060018001</t>
  </si>
  <si>
    <t>Выполнение работ в области животноводства (Прием и проверка сводных отчетов по бонитировке сельскохозяйственных животных от хозяйств, занимающихся разведением племенного скота, различных форм собственности)</t>
  </si>
  <si>
    <t xml:space="preserve">016200.Р.91.1.01060009001 </t>
  </si>
  <si>
    <t>Выполнение работ в области животноводства (Свод и анализ бонитировки сельскохозяственных животных Республики Крым и итоговая защита его во Всероссийском научно-исследовательском институте племенного животноводства)</t>
  </si>
  <si>
    <t>016200.Р.91.1.01060019001</t>
  </si>
  <si>
    <t>Выполнение работ в области животноводства (Закрепление быков-производителей за маточным поголовьем, мониторинг исполнения планов искусственного осеменения сельскохозяйственных животных и составление прогноза получения молодняка)</t>
  </si>
  <si>
    <t>016200.Р.91.1.01060017001</t>
  </si>
  <si>
    <t>Выполнение работ в области животноводства (Ведение единой электронной базы данных учета племенных сельскохозяйственных животных, разводимых на территории Республики Крым)</t>
  </si>
  <si>
    <t xml:space="preserve"> 016200.Р.91.1.01060014001 </t>
  </si>
  <si>
    <t>Выполнение работ в области животноводства (Методическое руководство селекционно-племенной работой на соответствие требованиям Министерства сельского хозяйства Российской Федерации)</t>
  </si>
  <si>
    <t>016200.Р.91.1.01060020001</t>
  </si>
  <si>
    <t>Информационное обеспечение в рамках государственной аграрной политики (Проведение мониторингов ценовой ситуации и анализ динамики цен на различные виды продовольственных товаров)</t>
  </si>
  <si>
    <t xml:space="preserve"> 631100.Р.91.1.01070001001</t>
  </si>
  <si>
    <t>Количество проведенных мониторингов</t>
  </si>
  <si>
    <t>Информационное обеспечение в рамках государственной аграрной политики (Проведение мониторинга и составление отчета о продовольственной безопасности)</t>
  </si>
  <si>
    <t xml:space="preserve">631100.Р.91.1.01070005001 </t>
  </si>
  <si>
    <t>Информационное обеспечение в рамках государственной аграрной политики (Прием, проверка и составление сводных отчетов Министерства сельского хозяйства Республики Крым)</t>
  </si>
  <si>
    <t>631100.Р.91.1.01070006001</t>
  </si>
  <si>
    <t xml:space="preserve"> Количество составленных отчетов</t>
  </si>
  <si>
    <t>Информационное обеспечение в рамках государственной аграрной политики (Подготовка еженедельной оперативно-аналитической информации «Агровестник Крыма»)</t>
  </si>
  <si>
    <t xml:space="preserve"> 631100.Р.91.1.01070008001</t>
  </si>
  <si>
    <t>Количество выпусков</t>
  </si>
  <si>
    <t>Информационное обеспечение в рамках государственной аграрной политики (Прием, обработка и свод отчетов сельскохозяйственных товаропроизводителей о выполнении показателей результативности использования субсидий на реализацию мероприятий в отрасли растениеводства и мелиорации)</t>
  </si>
  <si>
    <t>631100.Р.91.1.01070009001</t>
  </si>
  <si>
    <t>Информационное обеспечение в рамках государственной аграрной политики (Проведение мероприятий по воспроизводству стада сельскохозяйственных животных)</t>
  </si>
  <si>
    <t>631100.Р.91.1.01070012001</t>
  </si>
  <si>
    <t>Информационное обеспечение в рамках государственной аграрной политики (Подготовка аналитического материала по итогам бонитировки сельскохозяйственных животных за отчетный год)</t>
  </si>
  <si>
    <t>631100.Р.91.1.01070013001</t>
  </si>
  <si>
    <t>Информационное обеспечение в рамках государственной аграрной политики (Прием и проверка сводных отчетов по бонитировке сельскохозяйственных животных от хозяйств, занимающихся разведением племенного скота, различных форм собственности)</t>
  </si>
  <si>
    <t>631100.Р.91.1.01070014001</t>
  </si>
  <si>
    <t>Информационное обеспечение в рамках государственной аграрной политики (Составление сводных отчетов по отчетов по бонитировке и защита его во Всероссийском научно-исследовательском институте племенного животноводства)</t>
  </si>
  <si>
    <t>631100.Р.91.1.01070015001</t>
  </si>
  <si>
    <t>Информационное обеспечение в рамках государственной аграрной политики (Ведение единой электронной базы данных учета племенных сельскохозяйственных животных разводимых на территории Республики Крым)</t>
  </si>
  <si>
    <t>631100.Р.91.1.01070016001</t>
  </si>
  <si>
    <t>Информационное обеспечение в рамках государственной аграрной политики (Расчет нормативных затрат на технологические операции в полеводстве, плодоводстве и виноградарстве)</t>
  </si>
  <si>
    <t>631100.Р.91.1.01070017001</t>
  </si>
  <si>
    <t>Количество составленных расчетов</t>
  </si>
  <si>
    <t>Информационное обеспечение в рамках государственной аграрной политики (Определение племенной ценности стада сельскохозяйственных животных и подготовка заключений о соответствии хозяйств требованиям, предъявляемым к определенному виду организаций (породе) по племенному животноводству)</t>
  </si>
  <si>
    <t>631100.Р.91.1.01070018001</t>
  </si>
  <si>
    <t>Информационное обеспечение в рамках государственной аграрной политики (Осуществление проверки данных в планах селекционно-племенной работы организаций-кандидатов на получение статуса племенной организации)</t>
  </si>
  <si>
    <t>631100.Р.91.1.01070019001</t>
  </si>
  <si>
    <t>Информационное обеспечение в рамках государственной аграрной политики (Расчет технологических карт и нормативных затрат)</t>
  </si>
  <si>
    <t>631100.Р.91.1.01070020001</t>
  </si>
  <si>
    <t xml:space="preserve"> Количество составленных расчетов</t>
  </si>
  <si>
    <t>штук</t>
  </si>
  <si>
    <t>Информационное обеспечение в рамках государственной аграрной политики (Выполнение технико-экономических, информационно-аналитических расчетов и обоснований)</t>
  </si>
  <si>
    <t>631100.Р.91.1.01070021001</t>
  </si>
  <si>
    <t>Информационное обеспечение в рамках государственной аграрной политики (Прием, обработка и свод отчетов сельскохозяйственных товаропроизводителей о выполнении результатов использования субсидий)</t>
  </si>
  <si>
    <t>631100.Р.91.1.01070022001</t>
  </si>
  <si>
    <t>Информационное обеспечение в рамках государственной аграрной политики (Прием и проверка сводных отчетов по бонитировке сельскохозяйственных животных от хозяйств, занимающихся разведением животных мясного направления продуктивности, различных форм собственности)</t>
  </si>
  <si>
    <t>631100.Р.91.1.01070023001</t>
  </si>
  <si>
    <t>Информационное обеспечение в рамках государственной аграрной политики (Проведение мониторинга и анализа деятельности субъектов малого и среднего предпринимательства действующих в области сельского хозяйства.)</t>
  </si>
  <si>
    <t>631100.Р.91.1.01070026001</t>
  </si>
  <si>
    <t xml:space="preserve"> Количество составленных мониторингов</t>
  </si>
  <si>
    <t>Осуществление работ по рыбохозяйственной мелиорации водных объектов (Расчистка и углубление водопроводящих и сбросных каналов от заиливания, наносов песка и грунта с помощью экскаватора )</t>
  </si>
  <si>
    <t xml:space="preserve"> 032200.Р.91.1.01080001001</t>
  </si>
  <si>
    <t>Количество ила, песка и грунта, убранных из водопроводящих и сбросных каналов с помощью экскаватора</t>
  </si>
  <si>
    <t>Тыс. м3</t>
  </si>
  <si>
    <t>Осуществление работ по рыбохозяйственной мелиорации водных объектов (Очистка водных объектов рыбохозяйственного значения от мусора, а также брошенных сетей и иных бесхозяйных орудий лова)</t>
  </si>
  <si>
    <t xml:space="preserve"> 032200.Р.91.1.01080002001</t>
  </si>
  <si>
    <t>Площадь очищенной от мусора, а также брошенных сетей и иных бесхозяйных орудий лова акватории</t>
  </si>
  <si>
    <t>Тыс. кв.м</t>
  </si>
  <si>
    <t>Осуществление работ по рыбохозяйственной мелиорации водных объектов (Удаление водных растений из водного объекта, в том числе: уничтожение мягкой водной растительности камышекосилкой)</t>
  </si>
  <si>
    <t>032200.Р.91.1.01080003001</t>
  </si>
  <si>
    <t>Площадь зарослей мягкой водной растительности, удаленной механизированным способом</t>
  </si>
  <si>
    <t>Осуществление работ по рыбохозяйственной мелиорации водных объектов (Расчистка русел водопроводящих и сбросных каналов от кустарников и иной растительности с помощью ручных инструментов)</t>
  </si>
  <si>
    <t>032200.Р.91.1.01080005001</t>
  </si>
  <si>
    <t>Протяженность очищенных с помощью ручных инструментов русел проводящих и сбросных каналов</t>
  </si>
  <si>
    <t>Километр</t>
  </si>
  <si>
    <t>Осуществление работ по рыбохозяйственной мелиорации водных объектов (Удаление водных растений из водного объекта, в том числе: уничтожение жесткой водной растительности ротационной косилкой и мотокосами)</t>
  </si>
  <si>
    <t xml:space="preserve"> 032200.Р.91.1.01080006001</t>
  </si>
  <si>
    <t>Площадь зарослей жесткой водной растительности, скошенной камышекосилкой</t>
  </si>
  <si>
    <t>Осуществление работ по рыбохозяйственной мелиорации водных объектов (Удаление водных растений из водного объекта, в том числе: уничтожение жесткой водной растительности мотокосами)</t>
  </si>
  <si>
    <t xml:space="preserve">032200.Р.91.1.01080007001 </t>
  </si>
  <si>
    <t xml:space="preserve"> Площадь зарослей жесткой водной растительности, удаленной механизированным способом</t>
  </si>
  <si>
    <t>Осуществление работ по рыбохозяйственной мелиорации водных объектов (Удаление водных растений из водного объекта, в том числе: уничтожение жесткой водной растительности навесной ротационной косилкой)</t>
  </si>
  <si>
    <t>032200.Р.91.1.01080008001</t>
  </si>
  <si>
    <t>Осуществление работ по содержанию и выращиванию объектов аквакультуры (Формирование, содержание, эксплуатация, учет ремонтно-маточных стад объектов аквакультуры)</t>
  </si>
  <si>
    <t>032200.Р.91.1.01090001001</t>
  </si>
  <si>
    <t>Количество содержащихся в составе ремонтно-маточных стад объектов аквакультуры</t>
  </si>
  <si>
    <t>Тысяча штук</t>
  </si>
  <si>
    <t>Осуществление работ по содержанию и выращиванию объектов аквакультуры (Разведение, содержание, выращивание объектов аквакультуры и зарыбление водных объектов)</t>
  </si>
  <si>
    <t>032200.Р.91.1.01090002001</t>
  </si>
  <si>
    <t>Количество выращиваемой и выпускаемой молоди (личинок) объектов аквакультуры</t>
  </si>
  <si>
    <t>Миллион штук</t>
  </si>
  <si>
    <t>Затраты на уплату налогов, в качестве объекта налогообложения по которым признается имущество учреждения</t>
  </si>
  <si>
    <t>Итого по Министерству сельского хозяйства Республики Крым</t>
  </si>
  <si>
    <t>Государственный комитет ветеринарии Республики Крым</t>
  </si>
  <si>
    <t xml:space="preserve">Проведение плановых диагностических мероприятий на особо опасные болезни животных (птиц) и болезни общие для человека и животных (птиц) </t>
  </si>
  <si>
    <t>8520000.99.0.АЦ44АА04003-8520000.99.0.АЦ44АА01003</t>
  </si>
  <si>
    <t xml:space="preserve"> отбор проб</t>
  </si>
  <si>
    <t>тыс.проб</t>
  </si>
  <si>
    <t>83104053100300590611</t>
  </si>
  <si>
    <t>Проведение плановых диагностических мероприятий на особо опасные болезни животных (птиц) и болезни общие для человека и животных (птиц)</t>
  </si>
  <si>
    <t>8520000.99.0.АЦ44АА03003-8520000.99.0.АЦ44АА00003</t>
  </si>
  <si>
    <t>диагностические мероприятия</t>
  </si>
  <si>
    <t>тыс.штук</t>
  </si>
  <si>
    <t xml:space="preserve"> вакцинация</t>
  </si>
  <si>
    <t>Проведение мероприятий по защите населения от болезней общих для человека и животных и пищевых отравлений</t>
  </si>
  <si>
    <t>8520000.99.0.АЦ47АА02002</t>
  </si>
  <si>
    <t>Проведение ветеринарно-санитраной экспертизы сырья и продукции животного происхождения на трихинеллез</t>
  </si>
  <si>
    <t xml:space="preserve">Проведение плановых лабораторных исследований на особо опасные болезни животных (птиц), болезни общие для человека и животных (птиц) включая отбор проб и транспортировку </t>
  </si>
  <si>
    <t>8520000.99.0.АЦ44АА07003</t>
  </si>
  <si>
    <t>лабораторные исследования</t>
  </si>
  <si>
    <t>тыс. иссл.</t>
  </si>
  <si>
    <t xml:space="preserve">Проведение ветеринарных обследований объектов, связанных с содержанием животных, переработкой, хранением и реализацией продукции и сырья животного происхождения </t>
  </si>
  <si>
    <t>8520000.99.0.АЦ44АА29003</t>
  </si>
  <si>
    <t>Эпизоотическое обследование рыбоводных хозяйств</t>
  </si>
  <si>
    <t>Оформление и выдача ветеринарных сопроводительных документов</t>
  </si>
  <si>
    <t>8520000.99.0.АЦ46АА01001</t>
  </si>
  <si>
    <t>оформление ВСД</t>
  </si>
  <si>
    <t>8520000.99.0.АЦ46АА00001</t>
  </si>
  <si>
    <t>Учет, хранение ВСД</t>
  </si>
  <si>
    <t>Проведение учета и контроля за состоянием скотомогильноков, включая сибиреязвенные</t>
  </si>
  <si>
    <t>852000О.99.0.АЦ47АА23002</t>
  </si>
  <si>
    <t>оформление документации</t>
  </si>
  <si>
    <t>852000О.99.0.АЦ47АА25004</t>
  </si>
  <si>
    <t>осмотр объектов</t>
  </si>
  <si>
    <t>Итого по Государственному комитету ветеринарии Республики Крым</t>
  </si>
  <si>
    <t>Министерство экологии и природных ресурсов Республики Крым</t>
  </si>
  <si>
    <t>Проведение государственной  экспертизы запасов полезных ископаемых, геологической , экономической  и экологической  информации о предоставляемых участках недр</t>
  </si>
  <si>
    <t>711233.Р.91.0.0668001001</t>
  </si>
  <si>
    <t>количество  заключений</t>
  </si>
  <si>
    <t>820 0404 4400000590 611</t>
  </si>
  <si>
    <t>820 0404 4400053950 611</t>
  </si>
  <si>
    <t>Проведение экспертизы  проектов геологического изучения недр , с целью поисков и разведки месторождений полезных ископаемых</t>
  </si>
  <si>
    <t>711233.Р.91.0.06710001001</t>
  </si>
  <si>
    <t>количество заключений</t>
  </si>
  <si>
    <t>Тематические и опытно- методические работы, связанные с геологическим изучением недр</t>
  </si>
  <si>
    <t>711230.Р.91.1.07290001001</t>
  </si>
  <si>
    <t>количество отчетов</t>
  </si>
  <si>
    <t>Предоставление в пользование геологической информации о недрах, полученной в результате государственного геологического изучения недр</t>
  </si>
  <si>
    <t>711231.Р.91.0.06660001001</t>
  </si>
  <si>
    <t>количество предоставленной геологической информации</t>
  </si>
  <si>
    <t>Тематические и опытно- методические работы, связанные с геологическим изучением недр (проведение маркшейдерских работ с целью измерения горных разработок и подземных сооружений, определение их параметров и местоположения)</t>
  </si>
  <si>
    <t>820 0404 4420100590 621</t>
  </si>
  <si>
    <t>820 0404 4420200590 621</t>
  </si>
  <si>
    <t>820 0404 4420300590 621</t>
  </si>
  <si>
    <t>количество выездов</t>
  </si>
  <si>
    <t>820 0603 4400000590 621</t>
  </si>
  <si>
    <t>Работы по мониторингу сосотояния недр и охраны окружающей среды ( выполнение работ по государственному мониторингу состояния недр территории Республики  Крым, по мониторингу подземных вод по участкам недр метного значения на территории Республики Крым)</t>
  </si>
  <si>
    <t>711200.Р.91.1.07330001001</t>
  </si>
  <si>
    <t>820 0404 4440100590 621</t>
  </si>
  <si>
    <t xml:space="preserve">820 0404 4440153950 621 </t>
  </si>
  <si>
    <t>Осуществление лесовосстановления лесоразведения (проведение агротехническогго ухода за лесными культурами)</t>
  </si>
  <si>
    <t>024010.Р.91.1.00160002001</t>
  </si>
  <si>
    <t>гектары</t>
  </si>
  <si>
    <t>гектар</t>
  </si>
  <si>
    <t>820 0407 4400000590 621</t>
  </si>
  <si>
    <t>820 0603 4400000590 611</t>
  </si>
  <si>
    <t>820 0407 440GA 54290 621</t>
  </si>
  <si>
    <t>Осуществление лесовосстановления лесоразведения (дополнение лесных культур)</t>
  </si>
  <si>
    <t>024010.Р.91.1.00160001001</t>
  </si>
  <si>
    <t>Осуществление лесовосстановления лесоразведения (подготовка почвы под лесные культуры)</t>
  </si>
  <si>
    <t>024010.Р.91.1.00160004001</t>
  </si>
  <si>
    <t>Осуществление лесовосстановления лесоразведения (подготовка лесного участка под лесовосстановление (расчистка, раскорчевка)</t>
  </si>
  <si>
    <t>024010.Р.91.1.00160005001</t>
  </si>
  <si>
    <t>Осуществление лесовосстановления лесоразведения (облесение нелесных земель в составе земель лесного фонда)</t>
  </si>
  <si>
    <t>024010.Р.91.1.00160003001</t>
  </si>
  <si>
    <t>Осуществление лесовосстановления лесоразведения (искусственное лесовосстановление)</t>
  </si>
  <si>
    <t>024010.Р.91.1.00160006001</t>
  </si>
  <si>
    <t>Осуществление лесовосстановления лесоразведения (комбинированное лесовосстановление)</t>
  </si>
  <si>
    <t>Осуществление лесовосстановления лесоразведения (Комбинированное лесовосстановление(Осветление и прочистка лесных насаждений (рубка хвороста с корня ручным или механизированным способом с приземлением в междурядьях лесных культур путем равномерной вырубки по всей площади или коридорным способом вдоль рядов лесных культур))</t>
  </si>
  <si>
    <t>024010.Р.91.1.00160010001</t>
  </si>
  <si>
    <t>Выполнение работ по лесному семеноводству (заготока семян лесных растений)</t>
  </si>
  <si>
    <t>024010.Р.91.1.06830003001</t>
  </si>
  <si>
    <t>килограмм</t>
  </si>
  <si>
    <t>820 0407 440GA 54310 621</t>
  </si>
  <si>
    <t>Выполнение работ по лесному семеноводству (выращивание (производство) посадочного материала лесных растений (саженцев, сеянцев) (проведение агротехнического ухода за сеянцами и саженцами)</t>
  </si>
  <si>
    <t>024010.Р.91.1.06830002001</t>
  </si>
  <si>
    <t>единицы</t>
  </si>
  <si>
    <t>Выполнение работ по лесному семеноводству (выращивание (производство) посадочного материала лесных растений (саженцев, сеянцев)</t>
  </si>
  <si>
    <t>024010.Р.91.1.06830001001</t>
  </si>
  <si>
    <t>Профилактика возникновения очагов вредных организмов (планирование, обоснование и назначение санитарно- оздоровительных мероприятий и мероприятий по защите лесов)</t>
  </si>
  <si>
    <t>Предупреждение  возникновения и распространения лесных пожаров, включая территорию ООПТ (прочистка и обновление противопожарных минерализованных полос)</t>
  </si>
  <si>
    <t>024010.Р.91.1.06810006001</t>
  </si>
  <si>
    <t>километры</t>
  </si>
  <si>
    <t>км</t>
  </si>
  <si>
    <t>820 0407 4400051290 621</t>
  </si>
  <si>
    <t>Предупреждение  возникновения и распространения лесных пожаров, включая территорию ООПТ (организация системы обнаружения и учета лесных пожаров, системы наблюдения за их развитием с использованием наземных, авиационных или космических средств)</t>
  </si>
  <si>
    <t>024010.Р.91.1.06810009001</t>
  </si>
  <si>
    <t>Предупреждение  возникновения и распространения лесных пожаров, включая территорию ООПТ (устройство  противопожарных минерализованных полос)</t>
  </si>
  <si>
    <t>024010.Р.91.1.06810004001</t>
  </si>
  <si>
    <t>килиметр</t>
  </si>
  <si>
    <t>Предупреждение  возникновения и распространения лесных пожаров, включая территорию ООПТ (прокладка противопожарных разрывов)</t>
  </si>
  <si>
    <t>024010.Р.91.1.06810008001</t>
  </si>
  <si>
    <t>километр</t>
  </si>
  <si>
    <t>Предупреждение  возникновения и распространения лесных пожаров, включая территорию ООПТ (прочистка просек, уход за противопожарными разрывами)</t>
  </si>
  <si>
    <t>024010.Р.91.1.06810012001</t>
  </si>
  <si>
    <t>Предупреждение  возникновения и распространения лесных пожаров, включая территорию ООПТ (обустройство, эксплуатация лесных дорог, предназначенных для охраны лесов от пожаров)</t>
  </si>
  <si>
    <t>024010.Р.91.1.06810005001</t>
  </si>
  <si>
    <t>Предупреждение  возникновения и распространения лесных пожаров, включая территорию ООПТ (обеспечение  функционирования  пожарно-химических станций)</t>
  </si>
  <si>
    <t>024010.Р.91.1.06810010001</t>
  </si>
  <si>
    <t>Предупреждение  возникновения и распространения лесных пожаров, включая территорию ООПТ (обеспечение  функционирования  лесопожарных станций)</t>
  </si>
  <si>
    <t>024010.Р.91.1.06810013001</t>
  </si>
  <si>
    <t>Предупреждение  возникновения и распространения лесных пожаров, включая территорию ООПТ (организация обустройства и эксплуатации пожарных наблюдательных пунктов (вышек, мачт, павильонов и других  наблюдательных пунктов), пунктов сосредоточения противопожарного инвентаря)</t>
  </si>
  <si>
    <t>024010.Р.91.1.06810002001</t>
  </si>
  <si>
    <t>Предупреждение  возникновения и распространения лесных пожаров, включая территорию ООПТ (установка шлагбаумов, устройство преград, обеспечивающих ограничение  пребывания граждан в лесах в целях обеспечения пожарной безопасности в лесах)</t>
  </si>
  <si>
    <t>024010.Р.91.1.06810007001</t>
  </si>
  <si>
    <t>Предупреждение  возникновения и распространения лесных пожаров, включая территорию ООПТ (реконструкция шлагбаумов, преград, обеспечивающих ограничение  пребывания граждан в лесах в целях обеспечения пожарной безопасности в лесах)</t>
  </si>
  <si>
    <t>024010.Р.91.1.06810014001</t>
  </si>
  <si>
    <t>Предупреждение  возникновения и распространения лесных пожаров, включая территорию ООПТ (установка  и размещение стендов и других знаков и указателей, содержащих информацию о мерах пожарной безопасности в лесах)</t>
  </si>
  <si>
    <t>024010.Р.91.1.06810003001</t>
  </si>
  <si>
    <t>Предупреждение  возникновения и распространения лесных пожаров, включая территорию ООПТ (проведение противопожарной пропаганды и других профилактических мероприятий в целях предотвращения возникновения лесных пожаров)</t>
  </si>
  <si>
    <t>024010.Р.91.1.06810001001</t>
  </si>
  <si>
    <t>Осуществление мероприятий в области использования лесов, включая организацию и развитие туризма и отдыха в лесах (благоустройство зон отдыха граждан, пребывающих в лесах)</t>
  </si>
  <si>
    <t>024010.Р.91.1.06890001001</t>
  </si>
  <si>
    <t>Тушение пожаров в лесах (ликвидация лесного пожара силами наземных пожарных формирований)</t>
  </si>
  <si>
    <t>024010.Р.91.1.0731001001</t>
  </si>
  <si>
    <t>820 0407 440005129F 621</t>
  </si>
  <si>
    <t>Экологическое просвещение населения (проведение эколого- просветительских мероприятий на территории ООПТ и иных природных территориях)</t>
  </si>
  <si>
    <t>910412.Р.91.1.06760001001</t>
  </si>
  <si>
    <t>количество эколого-просветительских мероприятий</t>
  </si>
  <si>
    <t>820 0605 4400000590 621</t>
  </si>
  <si>
    <t>Локализация и ликвидация очагов вредных организмов 
(сплошная-санитарная рубка)</t>
  </si>
  <si>
    <t>024010.Р.91.1.06840003001</t>
  </si>
  <si>
    <t>Локализация и ликвидация очагов вредных организмов 
(выборочно-санитарная рубка)</t>
  </si>
  <si>
    <t>024010.Р.91.1.06840002001</t>
  </si>
  <si>
    <t>Выполнение работ по отводу лесосек (отвод лесосек)</t>
  </si>
  <si>
    <t>021000.Р.91.1.06870001001</t>
  </si>
  <si>
    <t>Обеспечение установления границ лесничеств и лесопарков</t>
  </si>
  <si>
    <t>021000.Р.91.1.07280001001</t>
  </si>
  <si>
    <t>количество</t>
  </si>
  <si>
    <t>820 0407 4400052210 621</t>
  </si>
  <si>
    <t>Создание эксперементальной и методологической основы сохранения объектов животного мира, включая редких и находящихся под угрозой исчезновения, охотничьих ресурсов в естественной среде обитания с целью поддержания  их видового разнообразия и сохранения их численности в пределах, необходимых для расширения воспроизводства на территории охотничьего хозяйства (проведение профилактических и дезенфекционных мерпориятий по защите охотничьих ресурсов в закрепленных охотничьих угодьях)</t>
  </si>
  <si>
    <t>017010.Р.91.1.06740004001</t>
  </si>
  <si>
    <t>Создание эксперементальной и методологической основы сохранения объектов животного мира, включая редких и находящихся под угрозой исчезновения, охотничьих ресурсов в естественной среде обитания с целью поддержания  их видового разнообразия и сохранения их численности в пределах, необходимых для расширения воспроизводства на территории охотничьего хозяйства (осуществление  производственого контроля (проведение рейдов по профилактике правонарушений в сфере использования охотничьих ресурсов)</t>
  </si>
  <si>
    <t>017010.Р.91.1.06740001001</t>
  </si>
  <si>
    <t>Сбор, обработка и хранение информации об объемах животного мира и среды их обитания, включая редких и находящихся под угрозой исчезновения объектов животного мира, охотничьих ресурсов (выполение работ по учету, наблюдению, анализу и прогнозу состояния видов растительного  и животного мира, в том числе занесенных в Красную книгу РФ и Красную книгу  субъекта РФ, и  среды их обитания, проводимых с привлечением сторонних организаций и мониторинга видов)</t>
  </si>
  <si>
    <t>017000.Р.91.1.07340001001</t>
  </si>
  <si>
    <t>количество видов</t>
  </si>
  <si>
    <t>820 0603 4430322270 621</t>
  </si>
  <si>
    <t>Обеспечение проведения мероприятий по сохранению объетов животного мира, включая редких и находящихся под угрозой исчезновения и среды их обитания (проведение подкормочных мероприятий)</t>
  </si>
  <si>
    <t>910412.Р.91.1.07300002001</t>
  </si>
  <si>
    <t>820 0603 440005920Ф 621</t>
  </si>
  <si>
    <t>Осуществелние лесоразведения на землях сельскохозяйственного назначения (создание защитных лесных полос на землях сельскохозяйственного назначения)</t>
  </si>
  <si>
    <t>024010.Р.91.1.07720001001</t>
  </si>
  <si>
    <t>Осуществелние лесоразведения на землях сельскохозяйственного назначения (подготовка почвы под посадку защитных лесных полос на землях сельскохозяйственного назначения)</t>
  </si>
  <si>
    <t>024010.Р.91.1.07720002001</t>
  </si>
  <si>
    <t>Осуществелние лесоразведения на землях сельскохозяйственного назначения (подготовка участка под посадку защитных лесных полос на землях сельскохозяйственного назначения)(расчистка, раскорчевка)</t>
  </si>
  <si>
    <t>024010.Р.91.1.07720003001</t>
  </si>
  <si>
    <t>Осуществелние лесоразведения на землях сельскохозяйственного назначения (проведение агротехнического ухода за лесными полосами)</t>
  </si>
  <si>
    <t>024010.Р.91.1.07720006001</t>
  </si>
  <si>
    <t>Предупреждение  возникновения и распространения лесных пожаров, включая территорию ООПТ (устройство пожарных водоемов и подъездов к источникам  противопожарного водоснабжения)</t>
  </si>
  <si>
    <t>024010.Р.91.1.06810016001</t>
  </si>
  <si>
    <t>количество водоемов</t>
  </si>
  <si>
    <t>Предупреждение  возникновения и распространения лесных пожаров, включая территорию ООПТ (создание резерва лесопожарной техники и оборудования, противопожарного снаряжения и инвентаря, а также ГСМ)</t>
  </si>
  <si>
    <t>024010.Р.91.1.06810017001</t>
  </si>
  <si>
    <t>Сбор и обработка гидрометеорологической информации и подготовка информационной продукции о состоянии окружающей среды и ее загрязнении(Получение (сбор), хранение, обработка (обобщение, систематизация) информации в области гидрометеорологии и мониторинга окружающей среды)</t>
  </si>
  <si>
    <t>711239.Р.91.1.00150003001</t>
  </si>
  <si>
    <t>количество измерений</t>
  </si>
  <si>
    <t>Сбор и обработка гидрометеорологической информации и подготовка информационной продукции о состоянии окружающей среды и ее загрязнении (Обеспечение аналитической поддержки ведения экологического мониторинга объектов окружающей среды (с отбором проб на химический анализ), в том числе поверхностных водных объектов на пограничных створах; исследование влияния объектов и населенных пунктов на качество поверхностных вод)</t>
  </si>
  <si>
    <t>711239.Р.91.1.00150001001</t>
  </si>
  <si>
    <t>количество проб, количество измерений</t>
  </si>
  <si>
    <t>Лабораторное обеспечение государственного экологического надзора и надзора на море (Проведение отбора проб, исследований, испытаний, измерений, экспертиз, количественных химических анализов)</t>
  </si>
  <si>
    <t>712010.Р.91.1.06750001001</t>
  </si>
  <si>
    <t>Ведение информационных  ресурсов и баз данных</t>
  </si>
  <si>
    <t>631110.Р.91.1.06750001001</t>
  </si>
  <si>
    <t>количество записей</t>
  </si>
  <si>
    <t>количкство отчетов</t>
  </si>
  <si>
    <t>Экологическое просвещение населения (пропадагда экологических знаний)</t>
  </si>
  <si>
    <t>910412.Р.91.106760002001</t>
  </si>
  <si>
    <t>Создание условий для регулируемого туризма, отдыха (рекреационное обустройство ООПТ : создание и обустройство  экологических троп и маршрутов)</t>
  </si>
  <si>
    <t>910412.Р.91.1.06800001001</t>
  </si>
  <si>
    <t>протяженность  экологических троп</t>
  </si>
  <si>
    <t>Сохранение природных комплексов, уникальных и эталонных природных участков и объектов (изготовление и установка аншлагов на территории государственных природных (зоологических) знаков и общедоступных охотничьих угодий с целью обозначения на местности зон охраны охотничьих ресурсов)</t>
  </si>
  <si>
    <t>910412.Р.91.1.06790003001</t>
  </si>
  <si>
    <t>количество установленных предупредительных знаков</t>
  </si>
  <si>
    <t>Экологическое  просвещение населения (проведение эколого- просветительских мероприятий на территории ООПТ и иных природных территориях : организация и проведение мероприятий по экологическому  просвещению и пропаганде бережного отношения  населения к окружающей природной среде)</t>
  </si>
  <si>
    <t>количество эколого- просветительских мероприятий</t>
  </si>
  <si>
    <t>Административное обеспечение деятельности организации</t>
  </si>
  <si>
    <t>841112.Р.91.1.06820001001</t>
  </si>
  <si>
    <t>количество объектов</t>
  </si>
  <si>
    <t>Сохранение природных комплексов, уникальных и эталонных природных участков и объектов (осуществление мероприятий по организации,  охране и фунционированию  ООПТ регионального значения и иных природных территорий)</t>
  </si>
  <si>
    <t>910412.Р.91.1.0679001001</t>
  </si>
  <si>
    <t>количество объетов</t>
  </si>
  <si>
    <t>Осуществление охраны природных территорий в целях биологического разнообразия и поддержания в естественном  сосотоянии охранных природных комплексов и объектов (наземное патрулирование ООПТ)</t>
  </si>
  <si>
    <t>024010.Р.91.1.06820001001</t>
  </si>
  <si>
    <t>количество составленных актов</t>
  </si>
  <si>
    <t>Осуществление охраны природных территорий в целях биологического разнообразия и поддержания в естественном  сосотоянии охранных природных комплексов и объектов (водное  патрулирование ООПТ)</t>
  </si>
  <si>
    <t>024010.Р.91.1.06820002001</t>
  </si>
  <si>
    <t>количество рейдов</t>
  </si>
  <si>
    <t>Сохранение природных комплексов, уникальных и эталонных природных участков и объектов (осуществление мероприятий по организации, охране и функционированию природных территорий регионального значения и иных природных территорий)</t>
  </si>
  <si>
    <t>910412.Р.91.1.06790001001</t>
  </si>
  <si>
    <t>площадь охваченная мероприятиями</t>
  </si>
  <si>
    <t>Сохранение природных комплексов, уникальных и эталонных природных участков и объектов (мероприятия по охране и защите лесов, ООПТ и иных природных территорий: изготовление и установка аншлагов на территории  государственных природных (зоологических) заказников и общедоступных охотничьих угодий с целью обохначения на местности хон охраны)</t>
  </si>
  <si>
    <t>количество установенных предупредительных знаков</t>
  </si>
  <si>
    <t>Создание эесперементальной и методологической основы сохранения объектов животного мира, включая редких и находящихся под угрозой исчезновения, охотничьих ресурсов в естетственной среде обитания с целью поддержания их видового разнообразия и сохранения их численности в пределах, необходимых для рассиренного воспроизводства на территории охотничьего хозяйства  (проведение биотехнических мероприяий (заготовка и выкладка кормов и минеральной подкормки для животных. устройство кормовых полей)</t>
  </si>
  <si>
    <t>017010.Р.91.1.06740003001</t>
  </si>
  <si>
    <t>количество изготовленных, отремонтированных, обновленных  охохозяйственныъ сооружений</t>
  </si>
  <si>
    <t>объем заготовленных и выложенных кормов</t>
  </si>
  <si>
    <t>тонна</t>
  </si>
  <si>
    <t>Организация  проведения  культурно-массовых мероприятий (творческих, слеты, фестивали, смотр, конкурс)</t>
  </si>
  <si>
    <t>количество проведенны мероприятий</t>
  </si>
  <si>
    <t>Мероприятия  по охране и защите лесов, ООПТ и иных природных территорий (осуществление мероприятий по организации, охране и функционированию ООПТ регионального значения и иных природных территорий)</t>
  </si>
  <si>
    <t>протяженность маршрутов</t>
  </si>
  <si>
    <t>Создание условий для регулируемого туризма и отдыха (рекреационное обустройство ООПТ)</t>
  </si>
  <si>
    <t>910412.Р.91.1.06820001001</t>
  </si>
  <si>
    <t>Создание условий для регулируемого туризма и отдыха (мероприятия по выделениюв натуре внешних границ   функциональных зон ООПТ, оснащение аншлагами, информационными щитами и знаками)</t>
  </si>
  <si>
    <t>Сохранение природных комплексов, уникальных и эталонных природных участков и объектов (мероприятия по выделению в натуре внешних границ функциональных зон ООПТ, оснащение аншлагами, информационными щитами и знаками)</t>
  </si>
  <si>
    <t>910412.Р.91.1.06790006001</t>
  </si>
  <si>
    <t>Государственный лесопатологический мониторинг в лесах, расположенных на землях лесного фонда</t>
  </si>
  <si>
    <t>024010.Р.91.1.06850001001</t>
  </si>
  <si>
    <t>площадь земель лесного фонда</t>
  </si>
  <si>
    <t>Выполнение работ по лесному семеноводству (Выращивание (производство) посадочного материала лесных растений (саженцев, сеянцев)(Проведение агротехнических уходов за сеянцами и саженцами)</t>
  </si>
  <si>
    <t>Организация и проведение работ по мониторингу (учету) численности объектов животного мира, включая редких и находящихся под угрозой исчезновения, охотничьих ресурсов и среды их обитания и их методическое обеспечение (мониторинг (учет) численности объектов животного мира, включая редких и находящихся под угрозой исчезновения охотничьих ресурсов и среды их обитания)</t>
  </si>
  <si>
    <t>017010.Р.91.1.06770001001</t>
  </si>
  <si>
    <t>площадь охотничьих угодий, охваченная работами</t>
  </si>
  <si>
    <t>Создание эксперементальной методологической основы сохранения объектов животного мира, включая редких и находящихся под угрозой исчезновения , охотничьих ресурсов в естетственной среде обитания с целью поддержания видового разнообразия и сохранения их численности в пределах, необходимых для расширенного воспроизводства на территории охотничьего хозяйства (проведение биотехнических мероприятий)</t>
  </si>
  <si>
    <t>объем изготовленных и выложенных кормов или подкормки</t>
  </si>
  <si>
    <t>Создание эксперементальной методологической основы сохранения объектов животного мира, включая редких и находящихся под угрозой исчезновения , охотничьих ресурсов в естетственной среде обитания с целью поддержания видового разнообразия и сохранения их численности в пределах, необходимых для расширенного воспроизводства на территории охотничьего хозяйства (осуществление  производственного охотничьего контроля)</t>
  </si>
  <si>
    <t>количество проведенных рейдов</t>
  </si>
  <si>
    <t>Создание эксперементальной методологической основы сохранения объектов животного мира, включая редких и находящихся под угрозой исчезновения , охотничьих ресурсов в естетственной среде обитания с целью поддержания видового разнообразия и сохранения их численности в пределах, необходимых для расширенного воспроизводства на территории охотничьего хозяйства (проведение охотхозяйственных мероприятий)</t>
  </si>
  <si>
    <t>количество изготовленных, отремонтированных, обновленных или установленных охотхозяйственных  сооружений</t>
  </si>
  <si>
    <t>Сохранение и поддержание видового разнообразия объектов животного мира, включая охотничьих ресурсов, на территории общедоступных угодий, ООПТ и иных природных территориях</t>
  </si>
  <si>
    <t>910412.Р.91.1.07300001001</t>
  </si>
  <si>
    <t>Государственный комитет по водному хозяйству и мелиорации Республики Крым</t>
  </si>
  <si>
    <t>Осуществление государственного экологического мониторинга</t>
  </si>
  <si>
    <t>711239.Р.91.1.00140001001</t>
  </si>
  <si>
    <t>Работа</t>
  </si>
  <si>
    <t>82104063500000590611</t>
  </si>
  <si>
    <t>Определение технического состояния государственных мелиоративных систем и отнесенных к государственной собственности отдельно расположенных гидротехнических сооружений при паспортизации государственных мелиоративных систем и отнесенных к государственной собственности отдельно расположенных  гидротехнических сооружений</t>
  </si>
  <si>
    <t>016110.Р.91.1.01100001001</t>
  </si>
  <si>
    <t>Площадь государственных мелиоративных систем</t>
  </si>
  <si>
    <t>Тысяча гектаров</t>
  </si>
  <si>
    <t>Выполнение работ по эксплуатации гидротехнических сооружений и водохозяйственных систем, находящихся в оперативном управлении учреждения</t>
  </si>
  <si>
    <t>360020.Р.91.1.00170002001</t>
  </si>
  <si>
    <t>Количество гидротехнических сооружений</t>
  </si>
  <si>
    <t>Эксплуатация мелиоративных систем, отдельно расположенных гидротехнических сооружений и другого имущества, переданного учреждению в оперативное управление</t>
  </si>
  <si>
    <t>016110.Р.91.1.01110001002</t>
  </si>
  <si>
    <t>Проведение работ по предупреждению  и ликвидации последствий аварий  на мелиоративных системах и отдельно расположенных гидротехнических сооружениях</t>
  </si>
  <si>
    <t>016110.Р.91.1.01130001001</t>
  </si>
  <si>
    <t>Сбор и обработка гидрометеорологической информации и подготовка информационной продукции о состоянии окружающей среды и ее загрязнении</t>
  </si>
  <si>
    <t>Количество проб</t>
  </si>
  <si>
    <t>Количество участков</t>
  </si>
  <si>
    <t>Количество измерений</t>
  </si>
  <si>
    <t>Обследование мелиорированных земель в рамках ведения учета мелиорированных земель</t>
  </si>
  <si>
    <t>016110.Р.91.1.01120001001</t>
  </si>
  <si>
    <t>Площадь мелиорированных земель</t>
  </si>
  <si>
    <t>Реализация основных профессиональных образовательных программ профессионального обучения - программ профессиональной подготовки по профессиям рабочих, должностям служащих</t>
  </si>
  <si>
    <t>804200О.99.0.ББ65АВ01000</t>
  </si>
  <si>
    <t>82104063500000590621</t>
  </si>
  <si>
    <t>804200О.99.0.ББ60АБ20001</t>
  </si>
  <si>
    <t xml:space="preserve">Реализация дополнительных общеразвивающих программ </t>
  </si>
  <si>
    <t>854199.Р.91.0.07700001001</t>
  </si>
  <si>
    <t>Итого по Государственному комитету по водному хозяйству и мелиорации Республики Крым</t>
  </si>
  <si>
    <t>Министерство транспорта Республики Крым</t>
  </si>
  <si>
    <t>Подготовка водителей транспортных средств категории "Д"</t>
  </si>
  <si>
    <t>854211.P.12.0.00910001000</t>
  </si>
  <si>
    <t>Количество человек, пршедших обучение</t>
  </si>
  <si>
    <t>ИТОГО по Министерству транспорта Республики Крым</t>
  </si>
  <si>
    <t>Министерство строительства и архитектуры Республики Крым</t>
  </si>
  <si>
    <t>Проведение проверки достоверности определения сметной стоимости объектов капитального строительства, в отношении которых государственная экспертиза не является обязательной</t>
  </si>
  <si>
    <t xml:space="preserve">0659
71209.Р.82.0.06590001001
</t>
  </si>
  <si>
    <t>Показатель, характеризующий объем государственной услуги (работы)</t>
  </si>
  <si>
    <t>81704121830100590621</t>
  </si>
  <si>
    <t xml:space="preserve">Разработка региональных индексов пересчета базисной стоимости строительно-монтажных работ по видам строительства                                                                                                   По видам работ к разделам сметной документации в территориальный текущай уровень </t>
  </si>
  <si>
    <t xml:space="preserve">0661
732019.Р.82.0.06610001001
</t>
  </si>
  <si>
    <t xml:space="preserve"> По видам работ к разделам сметной документации в территориальный текущий уровень цен</t>
  </si>
  <si>
    <t>Выполнение работ по мониторингу цен строительных ресурсов и формированию подлежащих представлению в федеральный орган исполнительной власти, осуществляющий функции по выработке и реализации государственной политики и нормативно-правовому регулированию в сфере нормирования и ценообразования при проектировании и строительстве, информации и материалов , необходимых для определения сметных цен</t>
  </si>
  <si>
    <t xml:space="preserve">           0664
732019.Р.82.1.06640001001
</t>
  </si>
  <si>
    <t>Обновление отраслевых сборников территориальных единичных расценок</t>
  </si>
  <si>
    <t xml:space="preserve">0670
581412.Р.82.1.0670001001
</t>
  </si>
  <si>
    <t>тыс.руб.</t>
  </si>
  <si>
    <t>702210.Р.12.067200010001</t>
  </si>
  <si>
    <t>количество обращений</t>
  </si>
  <si>
    <t>81704120000000000000130</t>
  </si>
  <si>
    <t>Разработка проекта планировки территории</t>
  </si>
  <si>
    <t>742000.Р.91.1.07670002001</t>
  </si>
  <si>
    <t>количество утвержденных проектов</t>
  </si>
  <si>
    <t>04120000000000000130</t>
  </si>
  <si>
    <t>Подготовка проекта межевания территории</t>
  </si>
  <si>
    <t>742000.Р.91.1.1.07670004001</t>
  </si>
  <si>
    <t>Обеспечение оценки объектов имущества, находящегося в государственной собственности</t>
  </si>
  <si>
    <t>Совершенствование методов сейсмического микрорайонирования и уточнения исходной сейсмичности в сложных инженерно-геологических условиях</t>
  </si>
  <si>
    <t>711239.Р.91.1.06420001001</t>
  </si>
  <si>
    <t>Комплект карт</t>
  </si>
  <si>
    <t>81703091820100590621</t>
  </si>
  <si>
    <t>Совершенствование методики моделирования сейсмических воздействий (акселерограмм) на основе региональных записей крымских землетрясений</t>
  </si>
  <si>
    <t>721913.Р.91.1.06430001001</t>
  </si>
  <si>
    <t>Программный комплекс расчета акселерограмм; записи в базу данных для расчета акселерограмм</t>
  </si>
  <si>
    <t>2; 20</t>
  </si>
  <si>
    <t>Разработка карт локального сейсмического риска крупных городов</t>
  </si>
  <si>
    <t>711131.Р.91.1.06440001001</t>
  </si>
  <si>
    <t>Карты локального риска</t>
  </si>
  <si>
    <t>Проведение мониторинга и совершенствование наблюдательной сети сейсмической обстановки</t>
  </si>
  <si>
    <t>711239.Р.91.1.06450001001</t>
  </si>
  <si>
    <t>Донесения о  сейсмической обстановке;                                                открытие новой сейсмической станции;                                                    оперативные сводки о сейсмической обстановке</t>
  </si>
  <si>
    <t>3; 1; 43</t>
  </si>
  <si>
    <t>Инженерно-геологическая съемка</t>
  </si>
  <si>
    <t>711210.Р.91.1.07470001001</t>
  </si>
  <si>
    <t>Километры</t>
  </si>
  <si>
    <t xml:space="preserve">ИТОГО по Министерству строительства и архитектуры  Республики Крым </t>
  </si>
  <si>
    <t>Служба государственного строительного надзора Республики Крым</t>
  </si>
  <si>
    <t>Обследование (рекогносцировка) побережья, оползневых и оползнеопасных участков</t>
  </si>
  <si>
    <t>711200.Р.91.0.06500001001</t>
  </si>
  <si>
    <t>Длина</t>
  </si>
  <si>
    <t>км.</t>
  </si>
  <si>
    <t>83503091820100590621</t>
  </si>
  <si>
    <t>Плановая и высотная привязка отдельных точек местности</t>
  </si>
  <si>
    <t>711200.Р.91.0.06520001001</t>
  </si>
  <si>
    <t>Скважина (репера) точка</t>
  </si>
  <si>
    <t>Наблюдения за подвижками точек склона и деформациями зданий и сооружений, находящихся в зоне влияния склонных процессов</t>
  </si>
  <si>
    <t>711200.Р.91.0.06530001001</t>
  </si>
  <si>
    <t>Горизонтальная съемка с составлением ситуационного плана</t>
  </si>
  <si>
    <t>711200.Р.91.0.06540001001</t>
  </si>
  <si>
    <t>Площадь</t>
  </si>
  <si>
    <t>га.</t>
  </si>
  <si>
    <t>Создание центров полигонометрии</t>
  </si>
  <si>
    <t>711200.Р.91.0.06550001001</t>
  </si>
  <si>
    <t>Скважина (репера) (точка)</t>
  </si>
  <si>
    <t>Закладка стенных марок и реперов</t>
  </si>
  <si>
    <t>711200.Р.91.0.06560001001</t>
  </si>
  <si>
    <t>0; 5</t>
  </si>
  <si>
    <t>3; 18</t>
  </si>
  <si>
    <t xml:space="preserve">Карты локального риска; </t>
  </si>
  <si>
    <t>Донесения о  сейсмической обстановке; разработка новых методик обработки результатов мониторинга; оперативные сводки о сейсмической обстановке</t>
  </si>
  <si>
    <t>1; 1; 8</t>
  </si>
  <si>
    <t>Министерство жилищной политики и государственного строительного надзора Республики Крым</t>
  </si>
  <si>
    <t>85203091820100590621</t>
  </si>
  <si>
    <t>1; 7</t>
  </si>
  <si>
    <t>1; 25</t>
  </si>
  <si>
    <t>Донесения о  сейсмической обстановке; открытие новых пунктов сейсмических, гидрологических и геофизических наблюдений; оперативные сводки о сейсмической обстановке</t>
  </si>
  <si>
    <t>1; 1; 50</t>
  </si>
  <si>
    <t>4; 1; 50</t>
  </si>
  <si>
    <t>4; 1; 51</t>
  </si>
  <si>
    <t>Согласовано (подпись)</t>
  </si>
  <si>
    <t>4.1.</t>
  </si>
  <si>
    <t>6.1</t>
  </si>
  <si>
    <t>6.2</t>
  </si>
  <si>
    <t>7.1</t>
  </si>
  <si>
    <t>7.2</t>
  </si>
  <si>
    <t>7.3</t>
  </si>
  <si>
    <t>8</t>
  </si>
  <si>
    <t>8.1</t>
  </si>
  <si>
    <t>8.2</t>
  </si>
  <si>
    <t>8.3</t>
  </si>
  <si>
    <t>8.4</t>
  </si>
  <si>
    <t>8.5</t>
  </si>
  <si>
    <t>8.6</t>
  </si>
  <si>
    <t>8.7</t>
  </si>
  <si>
    <t>8.8</t>
  </si>
  <si>
    <t>8.9</t>
  </si>
  <si>
    <t>8.10</t>
  </si>
  <si>
    <t>8.11</t>
  </si>
  <si>
    <t>8.12</t>
  </si>
  <si>
    <t>8.13</t>
  </si>
  <si>
    <t>8.14</t>
  </si>
  <si>
    <t>8.15</t>
  </si>
  <si>
    <t>8.16</t>
  </si>
  <si>
    <t>8.17</t>
  </si>
  <si>
    <t>8.18</t>
  </si>
  <si>
    <t>8.19</t>
  </si>
  <si>
    <t>8.20</t>
  </si>
  <si>
    <t>8.28.</t>
  </si>
  <si>
    <t>8.22.</t>
  </si>
  <si>
    <t>8.23.</t>
  </si>
  <si>
    <t>8.24.</t>
  </si>
  <si>
    <t>8.25.</t>
  </si>
  <si>
    <t>8.26.</t>
  </si>
  <si>
    <t>8.27.</t>
  </si>
  <si>
    <t>8.29.</t>
  </si>
  <si>
    <t>8.32.</t>
  </si>
  <si>
    <t>8.33.</t>
  </si>
  <si>
    <t>8.34.</t>
  </si>
  <si>
    <t>8.21.</t>
  </si>
  <si>
    <t>8.30</t>
  </si>
  <si>
    <t>8.31.</t>
  </si>
  <si>
    <t>Бейсбол                                                                                                             Этап совершенствования спортивного мастерства</t>
  </si>
  <si>
    <t>Бейсбол                                                                                                             Тренировочный этап (этап спортивной специализации)</t>
  </si>
  <si>
    <t>Бильярдный спорт                                                                                               Этап высшего спортивного мастерства</t>
  </si>
  <si>
    <t>Бильярдный спорт                                                                                            Этап совершенствования спортивного мастерства</t>
  </si>
  <si>
    <t>9</t>
  </si>
  <si>
    <t>9.1</t>
  </si>
  <si>
    <t>10</t>
  </si>
  <si>
    <t>10.1</t>
  </si>
  <si>
    <t>11</t>
  </si>
  <si>
    <t>11.1</t>
  </si>
  <si>
    <t>12</t>
  </si>
  <si>
    <t>12.1</t>
  </si>
  <si>
    <t>13</t>
  </si>
  <si>
    <t>13.1</t>
  </si>
  <si>
    <t>14</t>
  </si>
  <si>
    <t>14.1</t>
  </si>
  <si>
    <t>15.1</t>
  </si>
  <si>
    <t>16</t>
  </si>
  <si>
    <t>16.1</t>
  </si>
  <si>
    <t>15</t>
  </si>
  <si>
    <t>17</t>
  </si>
  <si>
    <t>17.1</t>
  </si>
  <si>
    <t>18.1</t>
  </si>
  <si>
    <t>19.1</t>
  </si>
  <si>
    <t>21</t>
  </si>
  <si>
    <t>20.1</t>
  </si>
  <si>
    <t>8.36</t>
  </si>
  <si>
    <t>8.35</t>
  </si>
  <si>
    <t>8.37</t>
  </si>
  <si>
    <t>8.38</t>
  </si>
  <si>
    <t>8.39</t>
  </si>
  <si>
    <t>8.40</t>
  </si>
  <si>
    <t>8.41</t>
  </si>
  <si>
    <t>8.42</t>
  </si>
  <si>
    <t>8.43</t>
  </si>
  <si>
    <t>8.44</t>
  </si>
  <si>
    <t>8.45</t>
  </si>
  <si>
    <t>8.46</t>
  </si>
  <si>
    <t>8.47</t>
  </si>
  <si>
    <t>8.48</t>
  </si>
  <si>
    <t>8.49</t>
  </si>
  <si>
    <t>8.50</t>
  </si>
  <si>
    <t>8.51</t>
  </si>
  <si>
    <t>8.52</t>
  </si>
  <si>
    <t>8.53</t>
  </si>
  <si>
    <t>8.54</t>
  </si>
  <si>
    <t>8.55</t>
  </si>
  <si>
    <t>8.56</t>
  </si>
  <si>
    <t>8.57</t>
  </si>
  <si>
    <t>8.58</t>
  </si>
  <si>
    <t>8.59</t>
  </si>
  <si>
    <t>8.60</t>
  </si>
  <si>
    <t>8.61</t>
  </si>
  <si>
    <t>8.62</t>
  </si>
  <si>
    <t>8.63</t>
  </si>
  <si>
    <t>8.64</t>
  </si>
  <si>
    <t>8.65</t>
  </si>
  <si>
    <t>8.66</t>
  </si>
  <si>
    <t>8.67</t>
  </si>
  <si>
    <t>8.68</t>
  </si>
  <si>
    <t>8.69</t>
  </si>
  <si>
    <t>8.70</t>
  </si>
  <si>
    <t>8.71</t>
  </si>
  <si>
    <t>8.72</t>
  </si>
  <si>
    <t>8.73</t>
  </si>
  <si>
    <t>8.74</t>
  </si>
  <si>
    <t>8.75</t>
  </si>
  <si>
    <t>8.76</t>
  </si>
  <si>
    <t>8.77</t>
  </si>
  <si>
    <t>8.78</t>
  </si>
  <si>
    <t>8.79</t>
  </si>
  <si>
    <t>8.80</t>
  </si>
  <si>
    <t>8.81</t>
  </si>
  <si>
    <t>8.82</t>
  </si>
  <si>
    <t>8.83</t>
  </si>
  <si>
    <t>8.84</t>
  </si>
  <si>
    <t>8.85</t>
  </si>
  <si>
    <t>8.86</t>
  </si>
  <si>
    <t>8.87</t>
  </si>
  <si>
    <t>8.88</t>
  </si>
  <si>
    <t>8.89</t>
  </si>
  <si>
    <t>8.90</t>
  </si>
  <si>
    <t>8.91</t>
  </si>
  <si>
    <t>8.92</t>
  </si>
  <si>
    <t>8.93</t>
  </si>
  <si>
    <t>8.94</t>
  </si>
  <si>
    <t>8.95</t>
  </si>
  <si>
    <t>8.96</t>
  </si>
  <si>
    <t>8.97</t>
  </si>
  <si>
    <t>8.98</t>
  </si>
  <si>
    <t>8.99</t>
  </si>
  <si>
    <t>8.100</t>
  </si>
  <si>
    <t>8.101</t>
  </si>
  <si>
    <t>8.102</t>
  </si>
  <si>
    <t>8.103</t>
  </si>
  <si>
    <t>8.104</t>
  </si>
  <si>
    <t>8.105</t>
  </si>
  <si>
    <t>8.106</t>
  </si>
  <si>
    <t>8.107</t>
  </si>
  <si>
    <t>8.108</t>
  </si>
  <si>
    <t>8.109</t>
  </si>
  <si>
    <t>8.110</t>
  </si>
  <si>
    <t>8.111</t>
  </si>
  <si>
    <t>8.112</t>
  </si>
  <si>
    <t>8.113</t>
  </si>
  <si>
    <t>8.114</t>
  </si>
  <si>
    <t>8.115</t>
  </si>
  <si>
    <t>8.116</t>
  </si>
  <si>
    <t>8.117</t>
  </si>
  <si>
    <t>8.118</t>
  </si>
  <si>
    <t>8.119</t>
  </si>
  <si>
    <t>8.120</t>
  </si>
  <si>
    <t>8.121</t>
  </si>
  <si>
    <t>8.122</t>
  </si>
  <si>
    <t>8.123</t>
  </si>
  <si>
    <t>8.124</t>
  </si>
  <si>
    <t>8.125</t>
  </si>
  <si>
    <t>8.126</t>
  </si>
  <si>
    <t>8.127</t>
  </si>
  <si>
    <t>8.128</t>
  </si>
  <si>
    <t>8.129</t>
  </si>
  <si>
    <t>8.130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</si>
  <si>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</si>
  <si>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</si>
  <si>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</si>
  <si>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</si>
  <si>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</si>
  <si>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</si>
  <si>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</si>
  <si>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</si>
  <si>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</si>
  <si>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9.11</t>
  </si>
  <si>
    <t>9.12</t>
  </si>
  <si>
    <t>9.13</t>
  </si>
  <si>
    <t>9.14</t>
  </si>
  <si>
    <t>9.15</t>
  </si>
  <si>
    <t>9.16</t>
  </si>
  <si>
    <t>9.17</t>
  </si>
  <si>
    <t>9.18</t>
  </si>
  <si>
    <t>9.19</t>
  </si>
  <si>
    <t>9.20</t>
  </si>
  <si>
    <t>9.21</t>
  </si>
  <si>
    <t>9.22</t>
  </si>
  <si>
    <t>9.23</t>
  </si>
  <si>
    <t>9.24</t>
  </si>
  <si>
    <t>9.25</t>
  </si>
  <si>
    <t>9.26</t>
  </si>
  <si>
    <t>9.27</t>
  </si>
  <si>
    <t>9.28</t>
  </si>
  <si>
    <t>9.29</t>
  </si>
  <si>
    <t>9.30</t>
  </si>
  <si>
    <t>9.31</t>
  </si>
  <si>
    <t>9.32</t>
  </si>
  <si>
    <t>9.33</t>
  </si>
  <si>
    <t>9.34</t>
  </si>
  <si>
    <t>9.35</t>
  </si>
  <si>
    <t>9.36</t>
  </si>
  <si>
    <t>9.37</t>
  </si>
  <si>
    <t>9.38</t>
  </si>
  <si>
    <t>9.39</t>
  </si>
  <si>
    <t>9.40</t>
  </si>
  <si>
    <t>9.41</t>
  </si>
  <si>
    <t>9.42</t>
  </si>
  <si>
    <t>9.43</t>
  </si>
  <si>
    <t>9.44</t>
  </si>
  <si>
    <t>9.45</t>
  </si>
  <si>
    <t>9.46</t>
  </si>
  <si>
    <t>9.47</t>
  </si>
  <si>
    <t>9.48</t>
  </si>
  <si>
    <t>9.49</t>
  </si>
  <si>
    <t>9.50</t>
  </si>
  <si>
    <t>9.51</t>
  </si>
  <si>
    <t>9.52</t>
  </si>
  <si>
    <t>9.53</t>
  </si>
  <si>
    <t>9.54</t>
  </si>
  <si>
    <t>9.55</t>
  </si>
  <si>
    <t>9.56</t>
  </si>
  <si>
    <t>9.57</t>
  </si>
  <si>
    <t>9.58</t>
  </si>
  <si>
    <t>9.59</t>
  </si>
  <si>
    <t>9.60</t>
  </si>
  <si>
    <t>9.61</t>
  </si>
  <si>
    <t>9.62</t>
  </si>
  <si>
    <t>9.63</t>
  </si>
  <si>
    <t>9.64</t>
  </si>
  <si>
    <t>9.65</t>
  </si>
  <si>
    <t>9.66</t>
  </si>
  <si>
    <t>9.67</t>
  </si>
  <si>
    <t>9.68</t>
  </si>
  <si>
    <t>9.69</t>
  </si>
  <si>
    <t>9.70</t>
  </si>
  <si>
    <t>9.71</t>
  </si>
  <si>
    <t>9.72</t>
  </si>
  <si>
    <t>9.73</t>
  </si>
  <si>
    <t>9.74</t>
  </si>
  <si>
    <t>9.75</t>
  </si>
  <si>
    <t>9.76</t>
  </si>
  <si>
    <t>9.77</t>
  </si>
  <si>
    <t>9.78</t>
  </si>
  <si>
    <t>9.79</t>
  </si>
  <si>
    <t>9.80</t>
  </si>
  <si>
    <t>9.81</t>
  </si>
  <si>
    <t>9.82</t>
  </si>
  <si>
    <t>9.83</t>
  </si>
  <si>
    <t>9.84</t>
  </si>
  <si>
    <t>9.85</t>
  </si>
  <si>
    <t>9.86</t>
  </si>
  <si>
    <t>9.87</t>
  </si>
  <si>
    <t>9.88</t>
  </si>
  <si>
    <t>9.89</t>
  </si>
  <si>
    <t>9.90</t>
  </si>
  <si>
    <t>9.91</t>
  </si>
  <si>
    <t>9.92</t>
  </si>
  <si>
    <t>9.93</t>
  </si>
  <si>
    <t>9.94</t>
  </si>
  <si>
    <t>9.95</t>
  </si>
  <si>
    <t>9.96</t>
  </si>
  <si>
    <t>9.97</t>
  </si>
  <si>
    <t>9.98</t>
  </si>
  <si>
    <t>9.99</t>
  </si>
  <si>
    <t>9.100</t>
  </si>
  <si>
    <t>9.101</t>
  </si>
  <si>
    <t>9.102</t>
  </si>
  <si>
    <t>9.103</t>
  </si>
  <si>
    <t>9.104</t>
  </si>
  <si>
    <t>9.105</t>
  </si>
  <si>
    <t>9.106</t>
  </si>
  <si>
    <t>9.107</t>
  </si>
  <si>
    <t>9.108</t>
  </si>
  <si>
    <t>9.109</t>
  </si>
  <si>
    <t>9.110</t>
  </si>
  <si>
    <t>9.111</t>
  </si>
  <si>
    <t>9.112</t>
  </si>
  <si>
    <t>9.113</t>
  </si>
  <si>
    <t>9.114</t>
  </si>
  <si>
    <t>9.115</t>
  </si>
  <si>
    <t>9.116</t>
  </si>
  <si>
    <t>9.117</t>
  </si>
  <si>
    <t>9.118</t>
  </si>
  <si>
    <t>9.119</t>
  </si>
  <si>
    <t>9.120</t>
  </si>
  <si>
    <t>9.121</t>
  </si>
  <si>
    <t>9.122</t>
  </si>
  <si>
    <t>9.123</t>
  </si>
  <si>
    <t>9.124</t>
  </si>
  <si>
    <t>9.125</t>
  </si>
  <si>
    <t>9.126</t>
  </si>
  <si>
    <t>9.127</t>
  </si>
  <si>
    <t>9.128</t>
  </si>
  <si>
    <t>9.129</t>
  </si>
  <si>
    <t>9.130</t>
  </si>
  <si>
    <t>9.131</t>
  </si>
  <si>
    <t>9.132</t>
  </si>
  <si>
    <t>9.133</t>
  </si>
  <si>
    <t>9.134</t>
  </si>
  <si>
    <t>9.135</t>
  </si>
  <si>
    <t>9.136</t>
  </si>
  <si>
    <t>9.137</t>
  </si>
  <si>
    <t>9.138</t>
  </si>
  <si>
    <t>9.139</t>
  </si>
  <si>
    <t>9.140</t>
  </si>
  <si>
    <t>9.141</t>
  </si>
  <si>
    <t>9.142</t>
  </si>
  <si>
    <t>9.143</t>
  </si>
  <si>
    <t>9.144</t>
  </si>
  <si>
    <t>9.145</t>
  </si>
  <si>
    <t>9.146</t>
  </si>
  <si>
    <t>9.147</t>
  </si>
  <si>
    <t>9.148</t>
  </si>
  <si>
    <t>9.149</t>
  </si>
  <si>
    <t>9.150</t>
  </si>
  <si>
    <t>9.151</t>
  </si>
  <si>
    <t>9.152</t>
  </si>
  <si>
    <t>9.153</t>
  </si>
  <si>
    <t>9.154</t>
  </si>
  <si>
    <t>9.155</t>
  </si>
  <si>
    <t>9.156</t>
  </si>
  <si>
    <t>9.157</t>
  </si>
  <si>
    <t>9.158</t>
  </si>
  <si>
    <t>9.159</t>
  </si>
  <si>
    <t>9.160</t>
  </si>
  <si>
    <t>9.161</t>
  </si>
  <si>
    <t>9.162</t>
  </si>
  <si>
    <t>9.163</t>
  </si>
  <si>
    <t>9.164</t>
  </si>
  <si>
    <t>9.165</t>
  </si>
  <si>
    <t>9.166</t>
  </si>
  <si>
    <t>9.167</t>
  </si>
  <si>
    <t>9.168</t>
  </si>
  <si>
    <t>9.169</t>
  </si>
  <si>
    <t>9.170</t>
  </si>
  <si>
    <t>9.171</t>
  </si>
  <si>
    <t>9.172</t>
  </si>
  <si>
    <t>9.173</t>
  </si>
  <si>
    <t>9.174</t>
  </si>
  <si>
    <t>9.175</t>
  </si>
  <si>
    <t>9.176</t>
  </si>
  <si>
    <t>9.177</t>
  </si>
  <si>
    <t>9.178</t>
  </si>
  <si>
    <t>9.179</t>
  </si>
  <si>
    <t>9.180</t>
  </si>
  <si>
    <t>9.181</t>
  </si>
  <si>
    <t>9.182</t>
  </si>
  <si>
    <t>9.183</t>
  </si>
  <si>
    <t>9.184</t>
  </si>
  <si>
    <t>9.185</t>
  </si>
  <si>
    <t>9.186</t>
  </si>
  <si>
    <t>10.2</t>
  </si>
  <si>
    <t>10.3</t>
  </si>
  <si>
    <t>10.4</t>
  </si>
  <si>
    <t>10.5</t>
  </si>
  <si>
    <t>10.6</t>
  </si>
  <si>
    <t>10.7</t>
  </si>
  <si>
    <t>10.8</t>
  </si>
  <si>
    <t>10.9</t>
  </si>
  <si>
    <t>10.10</t>
  </si>
  <si>
    <t>10.11</t>
  </si>
  <si>
    <t>10.12</t>
  </si>
  <si>
    <t>11.2</t>
  </si>
  <si>
    <t>12.2</t>
  </si>
  <si>
    <t>12.3</t>
  </si>
  <si>
    <t>12.4</t>
  </si>
  <si>
    <t>14.2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</si>
  <si>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</si>
  <si>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</si>
  <si>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</si>
  <si>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</si>
  <si>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</si>
  <si>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</si>
  <si>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</si>
  <si>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</si>
  <si>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</si>
  <si>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</si>
  <si>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14.13</t>
  </si>
  <si>
    <t>14.14</t>
  </si>
  <si>
    <t>14.15</t>
  </si>
  <si>
    <t>14.16</t>
  </si>
  <si>
    <t>14.17</t>
  </si>
  <si>
    <t>14.18</t>
  </si>
  <si>
    <t>14.19</t>
  </si>
  <si>
    <t>14.20</t>
  </si>
  <si>
    <t>14.21</t>
  </si>
  <si>
    <t>14.22</t>
  </si>
  <si>
    <t>14.23</t>
  </si>
  <si>
    <t>14.24</t>
  </si>
  <si>
    <t>14.25</t>
  </si>
  <si>
    <t>14.26</t>
  </si>
  <si>
    <t>14.27</t>
  </si>
  <si>
    <t>14.28</t>
  </si>
  <si>
    <t>14.29</t>
  </si>
  <si>
    <t>14.30</t>
  </si>
  <si>
    <t>14.31</t>
  </si>
  <si>
    <t>14.32</t>
  </si>
  <si>
    <t>14.33</t>
  </si>
  <si>
    <t>14.34</t>
  </si>
  <si>
    <t>14.35</t>
  </si>
  <si>
    <t>14.36</t>
  </si>
  <si>
    <t>14.37</t>
  </si>
  <si>
    <t>14.38</t>
  </si>
  <si>
    <t>14.39</t>
  </si>
  <si>
    <t>14.40</t>
  </si>
  <si>
    <t>14.41</t>
  </si>
  <si>
    <t>14.42</t>
  </si>
  <si>
    <t>14.43</t>
  </si>
  <si>
    <t>14.44</t>
  </si>
  <si>
    <t>14.45</t>
  </si>
  <si>
    <t>14.46</t>
  </si>
  <si>
    <t>14.47</t>
  </si>
  <si>
    <t>14.48</t>
  </si>
  <si>
    <t>14.49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</si>
  <si>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</si>
  <si>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</si>
  <si>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</si>
  <si>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</si>
  <si>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</si>
  <si>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</si>
  <si>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</si>
  <si>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</si>
  <si>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</si>
  <si>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</si>
  <si>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</si>
  <si>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</si>
  <si>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</si>
  <si>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</si>
  <si>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</si>
  <si>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</si>
  <si>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</si>
  <si>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</si>
  <si>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</si>
  <si>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</si>
  <si>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</si>
  <si>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</si>
  <si>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</si>
  <si>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</si>
  <si>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</si>
  <si>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16.18</t>
  </si>
  <si>
    <t>16.19</t>
  </si>
  <si>
    <t>16.20</t>
  </si>
  <si>
    <t>16.21</t>
  </si>
  <si>
    <t>16.22</t>
  </si>
  <si>
    <t>16.23</t>
  </si>
  <si>
    <t>16.24</t>
  </si>
  <si>
    <t>16.25</t>
  </si>
  <si>
    <t>16.26</t>
  </si>
  <si>
    <t>16.27</t>
  </si>
  <si>
    <t>16.28</t>
  </si>
  <si>
    <t>16.29</t>
  </si>
  <si>
    <t>16.30</t>
  </si>
  <si>
    <t>16.31</t>
  </si>
  <si>
    <t>16.32</t>
  </si>
  <si>
    <t>16.33</t>
  </si>
  <si>
    <t>16.34</t>
  </si>
  <si>
    <t>16.35</t>
  </si>
  <si>
    <t>16.36</t>
  </si>
  <si>
    <t>16.37</t>
  </si>
  <si>
    <t>16.38</t>
  </si>
  <si>
    <t>16.39</t>
  </si>
  <si>
    <t>16.40</t>
  </si>
  <si>
    <t>16.41</t>
  </si>
  <si>
    <t>16.42</t>
  </si>
  <si>
    <t>16.43</t>
  </si>
  <si>
    <t>16.44</t>
  </si>
  <si>
    <t>16.45</t>
  </si>
  <si>
    <t>16.46</t>
  </si>
  <si>
    <t>16.47</t>
  </si>
  <si>
    <t>16.48</t>
  </si>
  <si>
    <t>16.49</t>
  </si>
  <si>
    <t>16.50</t>
  </si>
  <si>
    <t>16.51</t>
  </si>
  <si>
    <t>16.52</t>
  </si>
  <si>
    <t>16.53</t>
  </si>
  <si>
    <t>16.54</t>
  </si>
  <si>
    <t>16.55</t>
  </si>
  <si>
    <t>16.56</t>
  </si>
  <si>
    <t>16.57</t>
  </si>
  <si>
    <t>16.58</t>
  </si>
  <si>
    <t>16.59</t>
  </si>
  <si>
    <t>16.60</t>
  </si>
  <si>
    <t>16.61</t>
  </si>
  <si>
    <t>16.62</t>
  </si>
  <si>
    <t>16.63</t>
  </si>
  <si>
    <t>16.64</t>
  </si>
  <si>
    <t>16.65</t>
  </si>
  <si>
    <t>16.66</t>
  </si>
  <si>
    <t>16.67</t>
  </si>
  <si>
    <t>16.68</t>
  </si>
  <si>
    <t>16.69</t>
  </si>
  <si>
    <t>16.70</t>
  </si>
  <si>
    <t>16.71</t>
  </si>
  <si>
    <t>16.72</t>
  </si>
  <si>
    <t>16.73</t>
  </si>
  <si>
    <t>16.74</t>
  </si>
  <si>
    <t>16.75</t>
  </si>
  <si>
    <t>16.76</t>
  </si>
  <si>
    <t>16.77</t>
  </si>
  <si>
    <t>16.78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</si>
  <si>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</si>
  <si>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</si>
  <si>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</si>
  <si>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</si>
  <si>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</si>
  <si>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</si>
  <si>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</si>
  <si>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</si>
  <si>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</si>
  <si>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19.2</t>
  </si>
  <si>
    <t>19.3</t>
  </si>
  <si>
    <t>19.4</t>
  </si>
  <si>
    <t>19.5</t>
  </si>
  <si>
    <t>19.6</t>
  </si>
  <si>
    <t>19.7</t>
  </si>
  <si>
    <t>19.8</t>
  </si>
  <si>
    <t>19.9</t>
  </si>
  <si>
    <t>19.10</t>
  </si>
  <si>
    <t>19.11</t>
  </si>
  <si>
    <t>19.12</t>
  </si>
  <si>
    <t>19.13</t>
  </si>
  <si>
    <t>19.14</t>
  </si>
  <si>
    <t>20.2</t>
  </si>
  <si>
    <t>20.3</t>
  </si>
  <si>
    <t>20.4</t>
  </si>
  <si>
    <t>20.5</t>
  </si>
  <si>
    <t>20.6</t>
  </si>
  <si>
    <t>20.7</t>
  </si>
  <si>
    <t>20.8</t>
  </si>
  <si>
    <t>20.9</t>
  </si>
  <si>
    <t>20.10</t>
  </si>
  <si>
    <t>20.11</t>
  </si>
  <si>
    <t>21.1</t>
  </si>
  <si>
    <t>21.2</t>
  </si>
  <si>
    <t>21.3</t>
  </si>
  <si>
    <t>21.4</t>
  </si>
  <si>
    <t>21.5</t>
  </si>
  <si>
    <t>21.6</t>
  </si>
  <si>
    <t>21.7</t>
  </si>
  <si>
    <t>21.8</t>
  </si>
  <si>
    <t>21.9</t>
  </si>
  <si>
    <t>21.10</t>
  </si>
  <si>
    <t>21.11</t>
  </si>
  <si>
    <t>Академическая гребля                                                                                          Тренировочный этап (этап спортивной специализации)</t>
  </si>
  <si>
    <t>Академическая гребля                                                                                                                                                                    Этап начальной подготовки</t>
  </si>
  <si>
    <t>Акробатический рок-н-ролл                                                                                                                                                                  этап начальной подготовки</t>
  </si>
  <si>
    <t>Акробатический рок-н-ролл                                                                                                                                                                  Этап совершенствования спортивного мастерства</t>
  </si>
  <si>
    <t>Акробатический рок-н-ролл                                                                                                                                                                 Тренировочный этап (тренировочный этап)</t>
  </si>
  <si>
    <t>Армрестлинг                                                                                                                                                                                   Этап высшего спортивного мастерства</t>
  </si>
  <si>
    <t>Армрестлинг                                                                                                                                                                                         Этап совершенствования спортивного мастерства</t>
  </si>
  <si>
    <t>Армрестлинг                                                                                                                                                                        Тренировочный этап (этап спортивной специализации)</t>
  </si>
  <si>
    <t>Бильярдный спорт                                                                                        Тренировочный этап (этап спортивной специализации)</t>
  </si>
  <si>
    <t>Бильярдный спорт                                                                                                                   Этап начальной подготовки</t>
  </si>
  <si>
    <t>Бокс                                                                                                                                          Этап начальной подготовки</t>
  </si>
  <si>
    <t>Бокс                                                                                                                                Тренировочный этап (спортивного совершенствования)</t>
  </si>
  <si>
    <t>Бокс                                                                                                                                          Этап совершенствования спортивного мастерства</t>
  </si>
  <si>
    <t>Бокс                                                                                                                                              Этап высшего спортивного мастерства</t>
  </si>
  <si>
    <t>Борьба на поясах                                                                                                                      Этап высшего спортивного мастерства</t>
  </si>
  <si>
    <t>Борьба на поясах                                                                                                            Тренировочный этап (спортивного совершенствования)</t>
  </si>
  <si>
    <t>Борьба на поясах                                                                                                                    Этап начальной подготовки</t>
  </si>
  <si>
    <t>Велосипедный спорт                                                                                                                 Этап высшего спортивного мастерства</t>
  </si>
  <si>
    <t>Велосипедный спорт                                                                                                                    Этап совершенствования спортивного мастерства</t>
  </si>
  <si>
    <t>Велосипедный спорт                                                                                                      Тренировочный этап (этап спортивной специализации)</t>
  </si>
  <si>
    <t>Велосипедный спорт                                                                                                                Этап начальной подготовки</t>
  </si>
  <si>
    <t>Водное поло                                                                                                                    Тренировочный этап (спортивного совершенствования)</t>
  </si>
  <si>
    <t>Водное поло                                                                                                                                Этап начальной подготовки</t>
  </si>
  <si>
    <t xml:space="preserve">Волейбол                                                                Этап начальной  подготовки </t>
  </si>
  <si>
    <t>Волейбол                                                                                                                          Тренировочный этап (этап спортивной специализации)</t>
  </si>
  <si>
    <t>Восточное  боевое  единоборство                                                                                                Этап совершенствования спортивного мастерства</t>
  </si>
  <si>
    <t>Восточное  боевое  единоборство                                                                                     Тренировочный этап</t>
  </si>
  <si>
    <t>Восточное  боевое  единоборство                                                                                            Этап начальной подготовки</t>
  </si>
  <si>
    <t>Всетилевое карате                                                                                                                         Этап начальной подготовки</t>
  </si>
  <si>
    <t>Всетилевое карате                                                                                                                         Тренировочный этап (этап спортивной специализации)</t>
  </si>
  <si>
    <t>Каратэ                                                                                                                                      Этап совершенствования спортивного мастерства</t>
  </si>
  <si>
    <t>Каратэ                                                                                                                                 Тренировочный этап (этап спортивной специализации)</t>
  </si>
  <si>
    <t>Каратэ                                                                                                                                         Этап начальной подготовки</t>
  </si>
  <si>
    <t>Городошный спорт                                                                                                                      Этап совершенствования спортивного мастерства</t>
  </si>
  <si>
    <t>Городошный спорт                                                                                                                    Тренировочный этап (этап спортивной специализации)</t>
  </si>
  <si>
    <t>Городошный спорт                                                                                                                      Этап начальной подготовки</t>
  </si>
  <si>
    <t>Гребля на байдарках и каноэ                                                                                            Тренировочный этап (этап спортивной специализации)</t>
  </si>
  <si>
    <t>Гребля на байдарках и каноэ                                                                                                        Этап начальной подготовки</t>
  </si>
  <si>
    <t>Греко-римская борьба                                                                                                               Этап совершенствования спортивного мастерства</t>
  </si>
  <si>
    <t>Греко-римская борьба                                                                                                   Тренировочный этап (этап спортивной специализации)</t>
  </si>
  <si>
    <t>Греко-римская борьба                                                                                                                Этап высшего спортивного мастерства</t>
  </si>
  <si>
    <t>Греко-римская борьба                                                                                                           Этап начальной подготовки</t>
  </si>
  <si>
    <t>Дзюдо                                                                                                                   Тренировочный этап (этап спортивной специализации)</t>
  </si>
  <si>
    <t>Дзюдо                                                                                                                                            Этап начальной подготовки</t>
  </si>
  <si>
    <t>Кикбоксинг                                                                                                                               Этап высшего спортивного мастерства</t>
  </si>
  <si>
    <t>Кикбоксинг                                                                                                                                   Этап совершенствования спортивного мастерства</t>
  </si>
  <si>
    <t>Кикбоксинг                                                                                                                       Тренировочный этап (этап спортивной специализации)</t>
  </si>
  <si>
    <t>Кикбоксинг                                                                                                                                   Этап начальной подготовки</t>
  </si>
  <si>
    <t>Легкая атлетика                                                                                                                            Этап высшего спортивного мастерства</t>
  </si>
  <si>
    <t>Легкая атлетика                                                                                                                      Этап совершенствования спортивного мастерства</t>
  </si>
  <si>
    <t>Легкая атлетика                                                                                                             Тренировочный этап (этап спортивной специализации)</t>
  </si>
  <si>
    <t>Легкая атлетика                                                                                                                        Этап начальной подготовки</t>
  </si>
  <si>
    <t>Парусный спорт                                                                                                                         Тренировочный этап (этап спортивной специализации)</t>
  </si>
  <si>
    <t>Парусный спорт                                                                                                                        Этап начальной подготовки</t>
  </si>
  <si>
    <t>Плавание                                                                                                                      Тренировочный этап (этап спортивной специализации)</t>
  </si>
  <si>
    <t>Плавание                                                                                                                                    Этап начальной подготовки</t>
  </si>
  <si>
    <t>Прыжки на батуте                                                                                                               Тренировочный этап (этап спортивной специализации)</t>
  </si>
  <si>
    <t>Прыжки на батуте                                                                                                                       Этап начальной подготовки</t>
  </si>
  <si>
    <t>Пулевая стрельба                                                                                                                      Этап высшего спортивного мастерства</t>
  </si>
  <si>
    <t>Пулевая стрельба                                                                                                                      Этап совершенствования спортивного мастерства</t>
  </si>
  <si>
    <t>Пулевая стрельба                                                                                                          Тренировочный этап (этап спортивного совершенствования)</t>
  </si>
  <si>
    <t>Пулевая стрельба                                                                                                                      Этап начальной подготовки</t>
  </si>
  <si>
    <t>Стрельба из лука                                                                                                                       Этап совершенствования спортивного мастерства</t>
  </si>
  <si>
    <t>Стрельба из лука                                                                                                                       Тренировочный этап (этап спортивного совершенствования)</t>
  </si>
  <si>
    <t>Стрельба из лука                                                                                                                       Этап начальной подготовки</t>
  </si>
  <si>
    <t>Регби                                                                                                                             Тренировочный этап (этап спортивного совершенствования)</t>
  </si>
  <si>
    <t>Регби                                                                                                                                         Этап начальной подготовки</t>
  </si>
  <si>
    <t>Самбо                                                                                                                                               Тренировочный этап (этап спортивного совершенствования)</t>
  </si>
  <si>
    <t xml:space="preserve">Самбо                                                                                                                                             Этап начальной подготовки </t>
  </si>
  <si>
    <t>Скалолазание                                                                                                                  Тренировочный этап (этап спортивного совершенствования)</t>
  </si>
  <si>
    <t>Скалолазание                                                                                                                                  Этап начальной подготовки</t>
  </si>
  <si>
    <t>Софтбол                                                                                                                                        Этап совершенствования спортивного мастерства</t>
  </si>
  <si>
    <t>Софтбол                                                                                                                        Тренировочный этап (этап спортивного совершенствования)</t>
  </si>
  <si>
    <t>Софтбол                                                                                                                                           Этап начальной подготовки</t>
  </si>
  <si>
    <t>Спортивная борьба (Вольная борьба)                                                                                                                             Этап высшего спортивного мастерства</t>
  </si>
  <si>
    <t>Спортивная борьба (Вольная борьба)                                                                                        Этап совершенствования спортивного мастерства</t>
  </si>
  <si>
    <t>Спортивная борьба (Вольная борьба)                                                                                                                               Тренировочный этап (этап спортивной специализации)</t>
  </si>
  <si>
    <t>Спортивная борьба (Вольная борьба)                                                                                        Этап начальной подготовки</t>
  </si>
  <si>
    <t xml:space="preserve">Спортивное гимнастика                                                                                          Тренировочный этап (этап спортивной специализации)                            </t>
  </si>
  <si>
    <t>Спортивное гимнастика                                                                                                            Этап начальной подготовки</t>
  </si>
  <si>
    <t>Спортивное ориентирование                                                                                                           Этап высшего спортивного мастерства</t>
  </si>
  <si>
    <t>Спортивное ориентирование                                                                                                       Этап совершенствования спортивного мастерства</t>
  </si>
  <si>
    <t>Спортивное ориентирование                                                                                                       Тренировочный этап (этап спортивной специализации)</t>
  </si>
  <si>
    <t>Спортивное ориентирование                                                                                                       Этап начальной подготовки</t>
  </si>
  <si>
    <t>Сумо                                                                                                                                          Этап высшего спортивного мастерства</t>
  </si>
  <si>
    <t>Сумо                                                                                                                                Тренировочный этап (этап спортивной специализации)</t>
  </si>
  <si>
    <t>Сумо                                                                                                                                              Этап начальной подготовки</t>
  </si>
  <si>
    <t>Танцевальный спорт                                                                                                         Тренировочный этап (этап спортивной специализации)</t>
  </si>
  <si>
    <t>Танцевальный спорт                                                                                                                     Этап начальной подготовки</t>
  </si>
  <si>
    <t>Теннис                                                                                                                                          Этап высшего спортивного мастерства</t>
  </si>
  <si>
    <t>Теннис                                                                                                                                             Этап совершенствования спортивного мастерства</t>
  </si>
  <si>
    <t>Теннис                                                                                                                             Тренировочный этап (этап спортивной специализации)</t>
  </si>
  <si>
    <t>Теннис                                                                                                                                            Этап начальной подготовки</t>
  </si>
  <si>
    <t>Тхэквондо                                                                                                                                   Этап совершенствования спортивного мастерства</t>
  </si>
  <si>
    <t>Тхэквондо                                                                                                                                      Этап начальной подготовки</t>
  </si>
  <si>
    <t>Тхэквондо                                                                                                                   Тренировочный этап (этап спортивной специализации)</t>
  </si>
  <si>
    <t>Тяжелая атлетика                                                                                                                       Этап высшего спортивного мастерства</t>
  </si>
  <si>
    <t>Тяжелая атлетика                                                                                                                       Тренировочный этап (этап спортивной специализации)</t>
  </si>
  <si>
    <t>Тяжелая атлетика                                                                                                                       Этап начальной подготовки</t>
  </si>
  <si>
    <t>Фехтование                                                                                                                   Тренировочный этап (этап спортивной специализации)</t>
  </si>
  <si>
    <t>Фехтование                                                                                                                              Этап начальной подготовки</t>
  </si>
  <si>
    <t>Футбол                                                                                                                            Тренировочный этап (этап спортивной специализации)</t>
  </si>
  <si>
    <t>Футбол                                                                                                                                           Этап начальной подготовки</t>
  </si>
  <si>
    <t>Хоккей на траве                                                                                                                          Этап высшего спортивного мастерства</t>
  </si>
  <si>
    <t>Хоккей на траве                                                                                                                          Тренировочный этап (этап спортивной специализации)</t>
  </si>
  <si>
    <t>Хоккей на траве                                                                                                                          Этап начальной подготовки</t>
  </si>
  <si>
    <t>Художественная гимнастика                                                                                                   Этап высшего спортивного мастерства</t>
  </si>
  <si>
    <t>Художественная гимнастика                                                                                                   Этап совершенствования спортивного мастерства</t>
  </si>
  <si>
    <t>Художественная гимнастика                                                                                          Тренировочный этап (этап спортивной специализации)</t>
  </si>
  <si>
    <t xml:space="preserve">Художественная гимнастика                                                                                                      Этап начальной  подготовки </t>
  </si>
  <si>
    <t>Эстетическая гимнастика                                                                                                 Тренировочный этап (этап спортивной специализации)</t>
  </si>
  <si>
    <t xml:space="preserve">Эстетическая гимнастика                                                                                                         Этап начальной  подготовки </t>
  </si>
  <si>
    <t>Шашки                                                                                                                                       Этап совершенствования спортивного мастерства</t>
  </si>
  <si>
    <t>Шашки                                                                                                                                       Тренировочный этап (этап спортивной специализации)</t>
  </si>
  <si>
    <t>Шахматы                                                                                                                        Тренировочный этап (этап спортивной специализации)</t>
  </si>
  <si>
    <t xml:space="preserve">Шахматы                                                                                                                                          Этап начальной  подготовки </t>
  </si>
  <si>
    <t xml:space="preserve">Шашки                                                                                                                                      Этап начальной  подготовки </t>
  </si>
  <si>
    <t>Спортивная борьба                                                                                                                 Этап высшего спортивного мастерства</t>
  </si>
  <si>
    <t>Спортивная борьба                                                                                                                 Этап совершенствования спортивного мастерства</t>
  </si>
  <si>
    <t>Спортивная борьба                                                                                                   Тренировочный этап (этап спортивной специализации)</t>
  </si>
  <si>
    <t>Дзюдо                                                                                                                                         Этап совершенствования спортивного мастерства</t>
  </si>
  <si>
    <t>Тяжелая атлетика                                                                                                                       Этап совершенствования спортивного мастерства</t>
  </si>
  <si>
    <t>Футбол                                                                                                                                      Этап совершенствованияспортивного мастерства</t>
  </si>
  <si>
    <t>Волейбол                                                                                                                                   Этап совершенствования спортивного мастерства, Спортивная подготовка по спорту глухих</t>
  </si>
  <si>
    <t>Волейбол                                                                                                                        Тренировочный этап (этап спортивной специализации), Спортивная подготовка по спорту глухих</t>
  </si>
  <si>
    <t>Греко-римская борьба                                                                                                   Тренировочный этап (этап спортивной специализации), Спортивная подготовка по спорту глухих</t>
  </si>
  <si>
    <t>Легкая атлетика                                                                                                                            Этап высшего спортивного мастерства, Спортивная подготовка по спорту лиц с поражением ОДА</t>
  </si>
  <si>
    <t>Легкая атлетика                                                                                                                            Этап совершенствования спортивного мастерства, Спортивная подготовка по спорту лиц с поражением ОДА</t>
  </si>
  <si>
    <t>Легкая атлетика                                                                                                             Тренировочный этап (этап спортивной специализации), Спортивная подготовка по спорту лиц с поражением ОДА</t>
  </si>
  <si>
    <t>Легкая атлетика                                                                                                             Тренировочный этап (этап спортивной специализации), Спортивная подготовка по спорту глухих</t>
  </si>
  <si>
    <t>Настольный теннис                                                                                                                 Этап совершенствования спортивного мастерства, Спортивная подготовка по спорту лиц с поражением ОДА</t>
  </si>
  <si>
    <t>Настольный теннис                                                                                                                 Тренировоч-ный этап (этап спортивной специализации), Спортивная подготовка по спорту лиц с поражением ОДА</t>
  </si>
  <si>
    <t>Настольный теннис                                                                                                                 Этап начальной подготовки, Спортивная подготовка по спорту лиц с поражением ОДА</t>
  </si>
  <si>
    <t>Пауэрлифтинг,                                                                                                                 Тренировоч-ный этап (этап спортивной специализации), Спортивная подготовка по спорту лиц с поражением ОДА</t>
  </si>
  <si>
    <t>Пауэрлифтинг,                                                                                                                         Этап начальной подготовки, Спортивная подготовка по спорту лиц с поражением ОДА</t>
  </si>
  <si>
    <t>Плавание                                                                                                                                  Этап высшего спортивного мастерства, Спортивная подготовка по спорту лиц с поражением ОДА</t>
  </si>
  <si>
    <t>Плавание                                                                                                                                  Тренировоч-ный этап (этап спортивной специализации), Спортивная подготовка по спорту глухих</t>
  </si>
  <si>
    <t>Плавание                                                                                                                                    Этап начальной подготовки, Спортивная подготовка по спорту лиц с поражением ОДА</t>
  </si>
  <si>
    <t>Пулевая стрельба                                                                                                                      Этап совершенствования спортивного мастерства, Спортивная подготовка по спорту лиц с поражением ОДА</t>
  </si>
  <si>
    <t>Пулевая стрельба                                                                                                                      Тренировоч-ный этап (этап спортивной специализации), Спортивная подготовка по спорту лиц с поражением ОДА</t>
  </si>
  <si>
    <t>Пулевая стрельба                                                                                                                      Этап начальной подготовки, Спортивная подготовка по спорту глухих</t>
  </si>
  <si>
    <t>Футбол                                                                                                                            Тренировочный этап (этап спортивной специализации), Спортивная подготовка по спорту глухих</t>
  </si>
  <si>
    <t>Футбол                                                                                                                                         Этап начальной подготовки, Спортивная подготовка по спорту глухих</t>
  </si>
  <si>
    <t>Шахматы                                                                                                                        Тренировочный этап (этап спортивной специализации), Спортивная подготовка по спорту слепых</t>
  </si>
  <si>
    <t>Шахматы                                                                                                                        Тренировочный этап (этап спортивной специализации), Спортивная подготовка по спорту глухих</t>
  </si>
  <si>
    <t xml:space="preserve">Вольная борьба                                                                                                                             Этап высшего спортивного мастерства </t>
  </si>
  <si>
    <t>Вольная борьба                                                                                                                              Этап совершенствования спортивного мастерства</t>
  </si>
  <si>
    <t>Вольная борьба                                                                                                               Тренировочный этап (этап спортивной специализации)</t>
  </si>
  <si>
    <t>Вольная борьба                                                                                                                      Этап начальной подготовки</t>
  </si>
  <si>
    <t>Дзюдо                                                                                                                                               Этап высшего спортивного мастерства</t>
  </si>
  <si>
    <t>Дзюдо                                                                                                                                               Этап начальной подготовки</t>
  </si>
  <si>
    <t>Художественная гимнастика                                                                                                        Этап начальной подготовки</t>
  </si>
  <si>
    <t>Информационно-консультационные услуги</t>
  </si>
  <si>
    <t>Создание экспозиций (выставок) музеев, организация выездных мероприятий (в стационарных условиях, платно/бесплатно)</t>
  </si>
  <si>
    <t>Министерство образования, науки и молодежи Республики Крым</t>
  </si>
  <si>
    <t>Реализация основных образовательных программ дошкольного образования</t>
  </si>
  <si>
    <t xml:space="preserve">
БВ24</t>
  </si>
  <si>
    <t>803 07 02 21 1 01 00590 611</t>
  </si>
  <si>
    <t>БВ24</t>
  </si>
  <si>
    <t>803 07 09 21 4 01 00590 611</t>
  </si>
  <si>
    <t>Реализация основных общеобразовательных программ начального общего образования</t>
  </si>
  <si>
    <t>БА81</t>
  </si>
  <si>
    <t>Реализация  адаптированных основных общеобразовательных программ для детей с умственной отсталостью</t>
  </si>
  <si>
    <t>БА90</t>
  </si>
  <si>
    <t>Реализация основных общеобразовательных программ основного общего образования</t>
  </si>
  <si>
    <t>БА96</t>
  </si>
  <si>
    <t>Реализация основных общеобразовательных программ среднего общего образования</t>
  </si>
  <si>
    <t>ББ11</t>
  </si>
  <si>
    <t>Реализация основных общеобразовательных программ среднего общего образования  - интегрированных с дополнительными общеразвивающими программами, имеющими целью подготовку несовершеннолетних обучающихся к военной или иной государственной службе, в том числе к государственной службе российского казачества</t>
  </si>
  <si>
    <t xml:space="preserve">
ББ09</t>
  </si>
  <si>
    <t xml:space="preserve">Реализация  дополнительных общеразвивающих программ  </t>
  </si>
  <si>
    <t xml:space="preserve">
ББ52 </t>
  </si>
  <si>
    <t>803 07 03 21 1 01 00590 611</t>
  </si>
  <si>
    <t>803 07 04 21 2 01 00590 611</t>
  </si>
  <si>
    <t xml:space="preserve">803 07 04 21 2 01 00590 621 </t>
  </si>
  <si>
    <t xml:space="preserve">803 07 06 21 2 01 00590 611 </t>
  </si>
  <si>
    <t xml:space="preserve">803 07 09 21 4 01 00590 611 </t>
  </si>
  <si>
    <t xml:space="preserve">803 07 05 21 2 01 00590 611 </t>
  </si>
  <si>
    <t>Организация отдыха детей и молодежи</t>
  </si>
  <si>
    <t xml:space="preserve">
АЗ22</t>
  </si>
  <si>
    <t>Количество человеко-дней</t>
  </si>
  <si>
    <t>Человеко-день</t>
  </si>
  <si>
    <t>Организация и проведение олимпиад, конкурсов, мероприятий, направленных на выявление и развитие у обучающихся интеллектуальных и творческих способностей, способностей к занятиям физической культурой и спортом, интереса к научной (научно-исследовательской) деятельности, творческой деятельности, физкультурно-спортивной деятельности</t>
  </si>
  <si>
    <t>850000.Р.82.1.00890001001</t>
  </si>
  <si>
    <t>Едииниц</t>
  </si>
  <si>
    <t>850000.Р.91.1.00890001001</t>
  </si>
  <si>
    <t>803 07 05 21 2 01 00590 611</t>
  </si>
  <si>
    <t>Методическое обеспечение образовательной деятельности</t>
  </si>
  <si>
    <t>850000.Р.82.1.00870001001</t>
  </si>
  <si>
    <t xml:space="preserve">803 07 03 21 1 01 00590 611 </t>
  </si>
  <si>
    <t>Реализация образовательных программ среднего профессионального образования - программ подготовки квалифицированных рабочих, служащих</t>
  </si>
  <si>
    <t xml:space="preserve">
ББ29</t>
  </si>
  <si>
    <t>803 07 04 21 2 01 00590 621</t>
  </si>
  <si>
    <t>Реализация основных профессиональных образовательных программ среднего профессионального образования - программ подготовки специалистов среднего звена</t>
  </si>
  <si>
    <t xml:space="preserve">
ББ28</t>
  </si>
  <si>
    <t>ББ65</t>
  </si>
  <si>
    <t>Реализация основных профессиональных образовательных программ высшего образования - программ бакалавриата</t>
  </si>
  <si>
    <t>ББ32</t>
  </si>
  <si>
    <t>803 07 06 21 2 01 00590 611</t>
  </si>
  <si>
    <t>Реализация основных профессиональных образовательных программ высшего образования – программ специалитета</t>
  </si>
  <si>
    <t>ББ36</t>
  </si>
  <si>
    <t>Реализация образовательных программ высшего образования – программ подготовки научно-педагогических кадров в аспирантуре</t>
  </si>
  <si>
    <t>ББ50</t>
  </si>
  <si>
    <t>х</t>
  </si>
  <si>
    <t>Проведение фундаментальных научных исследований</t>
  </si>
  <si>
    <t xml:space="preserve">
ББ59</t>
  </si>
  <si>
    <t>ББ60</t>
  </si>
  <si>
    <t>Оценка качества образования</t>
  </si>
  <si>
    <t>850000.Р.82.1.06980001001</t>
  </si>
  <si>
    <t>Организация и проведение олимпиад, конкурсов, смотров и мероприятий</t>
  </si>
  <si>
    <t>850000.Р.82.1.00930004001</t>
  </si>
  <si>
    <t>Организационно-методическое сопровождение деятельности, направленной на развитие профессионального образования</t>
  </si>
  <si>
    <t>850000.Р.91.1.00940002001</t>
  </si>
  <si>
    <t>850000.Р.82.1.00940001001</t>
  </si>
  <si>
    <t>Организационно-техническое и информационно-аналитическое обеспечение проведения аттестации педагогических работников образовательных учреждений</t>
  </si>
  <si>
    <t>`0095</t>
  </si>
  <si>
    <t>Психолого-медико-педагогическое обследование детей</t>
  </si>
  <si>
    <t>БВ20</t>
  </si>
  <si>
    <t>Число обучающихся</t>
  </si>
  <si>
    <t>Психолого-педагогическое консультирование обучающихся,их родителей (законных представителей ) и педагогических работников</t>
  </si>
  <si>
    <t>БВ21</t>
  </si>
  <si>
    <t>Число обучающихся,их родителей (законных представителей ) и педагогических работников</t>
  </si>
  <si>
    <t>Коррекционно-развивающая, компенсирующая и логопедическая помощь обучающимся</t>
  </si>
  <si>
    <t>853212О.99.0.БВ22АА02001</t>
  </si>
  <si>
    <t>Содержание и воспитание детей-сирот и детей, оставшихся без попечения родителей, детей, находящихся в трудной жизненной ситуации</t>
  </si>
  <si>
    <t xml:space="preserve">
БА59</t>
  </si>
  <si>
    <t>Количество детей</t>
  </si>
  <si>
    <t>803 10 02 21 3 02 00590 611</t>
  </si>
  <si>
    <t>803 10 02 21 3 01 0Г590 611</t>
  </si>
  <si>
    <t>Предоставление социального обслуживания в стационарной форме</t>
  </si>
  <si>
    <t xml:space="preserve">
АЭ24</t>
  </si>
  <si>
    <t>Численность граждан, получивших социальную услугу</t>
  </si>
  <si>
    <t>803 10 02 2 13 01 0Г590 611</t>
  </si>
  <si>
    <t>Предоставление социального обслуживания в полустационарной форме</t>
  </si>
  <si>
    <t xml:space="preserve">
АЭ10</t>
  </si>
  <si>
    <t xml:space="preserve">
АЭ09</t>
  </si>
  <si>
    <t>Предоставление социального обслуживания в форме на дому включая оказание социально-бытовых услуг,социально-медицинских услуг,социально-психологических услуг,социально-педагогических услуг,социально-трудовых услуг, социально-правовых услуг, услуг в целях повышения коммуникативного потенциала получателей социальных услуг, имеющих ограничения жизнедеятельност, в том числе детей-инвалидов, срочных социальных услуг</t>
  </si>
  <si>
    <t>АЭ11</t>
  </si>
  <si>
    <t>Оказание консультативной, психологической, педагогической, юридической, социальной и иной помощи лицам из числа детей, завершивших пребывание в организации для детей-сирот</t>
  </si>
  <si>
    <t xml:space="preserve">
БА63</t>
  </si>
  <si>
    <t>Человеко-дней</t>
  </si>
  <si>
    <t>803 10 02 2 13 02 00590 611</t>
  </si>
  <si>
    <t>4.3</t>
  </si>
  <si>
    <t>13.2</t>
  </si>
  <si>
    <t>13.3</t>
  </si>
  <si>
    <t>13.4</t>
  </si>
  <si>
    <t>13.5</t>
  </si>
  <si>
    <t>13.6</t>
  </si>
  <si>
    <t>13.7</t>
  </si>
  <si>
    <t>13.8</t>
  </si>
  <si>
    <t>13.9</t>
  </si>
  <si>
    <t>13.10</t>
  </si>
  <si>
    <t>13.11</t>
  </si>
  <si>
    <t>13.12</t>
  </si>
  <si>
    <t>13.13</t>
  </si>
  <si>
    <t>13.14</t>
  </si>
  <si>
    <t>13.15</t>
  </si>
  <si>
    <t>13.16</t>
  </si>
  <si>
    <t>13.17</t>
  </si>
  <si>
    <t>13.18</t>
  </si>
  <si>
    <t>13.19</t>
  </si>
  <si>
    <t>13.20</t>
  </si>
  <si>
    <t>13.21</t>
  </si>
  <si>
    <t>13.22</t>
  </si>
  <si>
    <t>13.23</t>
  </si>
  <si>
    <t>13.24</t>
  </si>
  <si>
    <t>13.25</t>
  </si>
  <si>
    <t>13.26</t>
  </si>
  <si>
    <t>13.27</t>
  </si>
  <si>
    <t>13.28</t>
  </si>
  <si>
    <t>13.31</t>
  </si>
  <si>
    <t>13.33</t>
  </si>
  <si>
    <t>13.32</t>
  </si>
  <si>
    <t>Итого по Министерству жилищной политики и государственного строительного надзора Республики Крым</t>
  </si>
  <si>
    <t>Итого по Службе государственного строительного надзора Республики Крым</t>
  </si>
  <si>
    <t>Итого по Министерству образования, науки и молодежи Республики Крым</t>
  </si>
  <si>
    <t>ВСЕГО</t>
  </si>
  <si>
    <t>13.30</t>
  </si>
  <si>
    <t>13.29</t>
  </si>
  <si>
    <t>Итого по Министерству экологии и прирдных ресурсов Республики Крым</t>
  </si>
  <si>
    <t>Министерство чрезвычайных ситуаций Республики Крым</t>
  </si>
  <si>
    <t>22.1</t>
  </si>
  <si>
    <t>22.2</t>
  </si>
  <si>
    <t>22.3</t>
  </si>
  <si>
    <t>Реализация основных профессиональных программ профессионального обучения - программ переподготовки рабочих и служащих</t>
  </si>
  <si>
    <t>Реализация основных профессиональных программ профессионального обучения - программ профессиональной подготовки по профессиям рабочих, должностям служащих</t>
  </si>
  <si>
    <t>Человека-час</t>
  </si>
  <si>
    <t>тыс. руб</t>
  </si>
  <si>
    <t>82303090120100590611</t>
  </si>
  <si>
    <t>8042000О.00.0.ББ663АА00000</t>
  </si>
  <si>
    <t>8042000О.00.0.ББ60АА72001</t>
  </si>
  <si>
    <t>8042000О.00.0.ББ665АА01000</t>
  </si>
  <si>
    <t>23</t>
  </si>
  <si>
    <t>Итого по Министерству чрезвычайных ситуаций</t>
  </si>
  <si>
    <t>Предоставление информационно-консультационных услуг</t>
  </si>
  <si>
    <t>0672</t>
  </si>
  <si>
    <t>0055</t>
  </si>
  <si>
    <t>Обеспечение сохранности и целостности историко-архитектурного комплекса, исторической среды и  ландшафтов</t>
  </si>
  <si>
    <t>0052</t>
  </si>
  <si>
    <t>кв.м</t>
  </si>
  <si>
    <t>Создание экспозиций (выставок) музеев, организация выездных выставок</t>
  </si>
  <si>
    <t>0058</t>
  </si>
  <si>
    <t>ББ69</t>
  </si>
  <si>
    <t>Число посетителей</t>
  </si>
  <si>
    <t>ББ82</t>
  </si>
  <si>
    <t>Государственный комитет по охране культурного наследия Республики Крым</t>
  </si>
  <si>
    <t>23.1</t>
  </si>
  <si>
    <t>23.2</t>
  </si>
  <si>
    <t>23.3</t>
  </si>
  <si>
    <t>23.4</t>
  </si>
  <si>
    <t>23.5</t>
  </si>
  <si>
    <t>23.6</t>
  </si>
  <si>
    <t>23.7</t>
  </si>
  <si>
    <t>23.8</t>
  </si>
  <si>
    <t>23.9</t>
  </si>
  <si>
    <t>81208013220100590</t>
  </si>
  <si>
    <t>Итого по Государственному комитету по охране культурного наследия Республики Крым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</si>
</sst>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₽_-;\-* #,##0.00\ _₽_-;_-* &quot;-&quot;??\ _₽_-;_-@_-"/>
    <numFmt numFmtId="164" formatCode="&quot;&quot;###,##0"/>
    <numFmt numFmtId="165" formatCode="_-* #,##0.000\ _₽_-;\-* #,##0.000\ _₽_-;_-* &quot;-&quot;??\ _₽_-;_-@_-"/>
    <numFmt numFmtId="166" formatCode="_-* #,##0.000\ _₽_-;\-* #,##0.000\ _₽_-;_-* &quot;-&quot;???\ _₽_-;_-@_-"/>
    <numFmt numFmtId="167" formatCode="#,##0.00_ ;[Red]\-#,##0.00\ "/>
    <numFmt numFmtId="168" formatCode="000"/>
  </numFmts>
  <fonts count="35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</font>
    <font>
      <sz val="12"/>
      <name val="Times New Roman"/>
      <family val="1"/>
      <charset val="1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rgb="FFFF0000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8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rgb="FFA6A6A6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4" fillId="0" borderId="0"/>
    <xf numFmtId="0" fontId="3" fillId="0" borderId="0"/>
    <xf numFmtId="0" fontId="4" fillId="0" borderId="0"/>
  </cellStyleXfs>
  <cellXfs count="306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0" fillId="0" borderId="0" xfId="0" applyFill="1"/>
    <xf numFmtId="43" fontId="0" fillId="0" borderId="0" xfId="0" applyNumberFormat="1" applyFill="1"/>
    <xf numFmtId="0" fontId="0" fillId="2" borderId="0" xfId="0" applyFill="1"/>
    <xf numFmtId="166" fontId="0" fillId="2" borderId="0" xfId="0" applyNumberFormat="1" applyFill="1"/>
    <xf numFmtId="43" fontId="0" fillId="2" borderId="0" xfId="1" applyFont="1" applyFill="1"/>
    <xf numFmtId="167" fontId="0" fillId="2" borderId="0" xfId="0" applyNumberFormat="1" applyFill="1"/>
    <xf numFmtId="0" fontId="0" fillId="2" borderId="0" xfId="0" applyFill="1" applyBorder="1"/>
    <xf numFmtId="0" fontId="1" fillId="0" borderId="1" xfId="0" applyFont="1" applyBorder="1" applyAlignment="1">
      <alignment wrapText="1"/>
    </xf>
    <xf numFmtId="0" fontId="6" fillId="0" borderId="0" xfId="0" applyFont="1"/>
    <xf numFmtId="0" fontId="7" fillId="0" borderId="1" xfId="3" applyFont="1" applyFill="1" applyBorder="1" applyAlignment="1">
      <alignment horizontal="center" vertical="center" wrapText="1"/>
    </xf>
    <xf numFmtId="168" fontId="7" fillId="0" borderId="1" xfId="4" applyNumberFormat="1" applyFont="1" applyFill="1" applyBorder="1" applyAlignment="1" applyProtection="1">
      <alignment horizontal="center" vertical="center" wrapText="1"/>
      <protection hidden="1"/>
    </xf>
    <xf numFmtId="0" fontId="7" fillId="0" borderId="1" xfId="0" applyFont="1" applyFill="1" applyBorder="1" applyAlignment="1">
      <alignment horizontal="center" vertical="center" wrapText="1"/>
    </xf>
    <xf numFmtId="168" fontId="7" fillId="4" borderId="4" xfId="4" applyNumberFormat="1" applyFont="1" applyFill="1" applyBorder="1" applyAlignment="1" applyProtection="1">
      <alignment horizontal="center" vertical="center" wrapText="1"/>
      <protection hidden="1"/>
    </xf>
    <xf numFmtId="0" fontId="7" fillId="4" borderId="1" xfId="3" applyFont="1" applyFill="1" applyBorder="1" applyAlignment="1">
      <alignment horizontal="center" vertical="center" wrapText="1"/>
    </xf>
    <xf numFmtId="168" fontId="7" fillId="4" borderId="1" xfId="4" applyNumberFormat="1" applyFont="1" applyFill="1" applyBorder="1" applyAlignment="1" applyProtection="1">
      <alignment horizontal="center" vertical="center" wrapText="1"/>
      <protection hidden="1"/>
    </xf>
    <xf numFmtId="0" fontId="7" fillId="4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0" fontId="1" fillId="5" borderId="0" xfId="0" applyFont="1" applyFill="1"/>
    <xf numFmtId="0" fontId="8" fillId="0" borderId="1" xfId="0" applyFont="1" applyBorder="1" applyAlignment="1">
      <alignment horizontal="center" vertical="center" wrapText="1"/>
    </xf>
    <xf numFmtId="0" fontId="8" fillId="4" borderId="6" xfId="0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horizontal="center" vertical="center" wrapText="1"/>
    </xf>
    <xf numFmtId="49" fontId="7" fillId="0" borderId="1" xfId="2" applyNumberFormat="1" applyFont="1" applyFill="1" applyBorder="1" applyAlignment="1">
      <alignment horizontal="center" vertical="center" wrapText="1"/>
    </xf>
    <xf numFmtId="4" fontId="14" fillId="0" borderId="1" xfId="2" applyNumberFormat="1" applyFont="1" applyFill="1" applyBorder="1" applyAlignment="1">
      <alignment horizontal="center" vertical="center" wrapText="1"/>
    </xf>
    <xf numFmtId="49" fontId="11" fillId="4" borderId="1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11" fillId="4" borderId="1" xfId="0" applyNumberFormat="1" applyFont="1" applyFill="1" applyBorder="1" applyAlignment="1" applyProtection="1">
      <alignment horizontal="center" vertical="center" wrapText="1"/>
      <protection hidden="1"/>
    </xf>
    <xf numFmtId="49" fontId="11" fillId="4" borderId="1" xfId="0" applyNumberFormat="1" applyFont="1" applyFill="1" applyBorder="1" applyAlignment="1" applyProtection="1">
      <alignment horizontal="center" vertical="center" wrapText="1"/>
      <protection hidden="1"/>
    </xf>
    <xf numFmtId="0" fontId="11" fillId="4" borderId="4" xfId="0" applyNumberFormat="1" applyFont="1" applyFill="1" applyBorder="1" applyAlignment="1" applyProtection="1">
      <alignment horizontal="center" vertical="center" wrapText="1"/>
      <protection hidden="1"/>
    </xf>
    <xf numFmtId="49" fontId="11" fillId="4" borderId="2" xfId="0" applyNumberFormat="1" applyFont="1" applyFill="1" applyBorder="1" applyAlignment="1" applyProtection="1">
      <alignment horizontal="center" vertical="center" wrapText="1"/>
      <protection hidden="1"/>
    </xf>
    <xf numFmtId="49" fontId="11" fillId="4" borderId="7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2" applyFont="1" applyFill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49" fontId="21" fillId="0" borderId="1" xfId="2" applyNumberFormat="1" applyFont="1" applyFill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4" fontId="5" fillId="0" borderId="1" xfId="2" applyNumberFormat="1" applyFont="1" applyFill="1" applyBorder="1" applyAlignment="1">
      <alignment horizontal="center" vertical="center" wrapText="1"/>
    </xf>
    <xf numFmtId="4" fontId="21" fillId="0" borderId="1" xfId="2" applyNumberFormat="1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4" borderId="1" xfId="0" applyFont="1" applyFill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4" fontId="20" fillId="0" borderId="1" xfId="0" applyNumberFormat="1" applyFont="1" applyBorder="1" applyAlignment="1">
      <alignment horizontal="center" vertical="center" wrapText="1"/>
    </xf>
    <xf numFmtId="3" fontId="19" fillId="0" borderId="1" xfId="0" applyNumberFormat="1" applyFont="1" applyBorder="1" applyAlignment="1">
      <alignment horizontal="center" vertical="center" wrapText="1"/>
    </xf>
    <xf numFmtId="4" fontId="25" fillId="0" borderId="1" xfId="0" applyNumberFormat="1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4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center" vertical="center" wrapText="1"/>
    </xf>
    <xf numFmtId="4" fontId="8" fillId="0" borderId="1" xfId="0" applyNumberFormat="1" applyFont="1" applyBorder="1" applyAlignment="1">
      <alignment horizontal="center" vertical="center" wrapText="1"/>
    </xf>
    <xf numFmtId="4" fontId="8" fillId="4" borderId="1" xfId="0" applyNumberFormat="1" applyFont="1" applyFill="1" applyBorder="1" applyAlignment="1">
      <alignment horizontal="center" vertical="center" wrapText="1"/>
    </xf>
    <xf numFmtId="4" fontId="20" fillId="0" borderId="1" xfId="0" applyNumberFormat="1" applyFont="1" applyFill="1" applyBorder="1" applyAlignment="1">
      <alignment horizontal="center" vertical="center" wrapText="1"/>
    </xf>
    <xf numFmtId="4" fontId="21" fillId="4" borderId="1" xfId="3" applyNumberFormat="1" applyFont="1" applyFill="1" applyBorder="1" applyAlignment="1">
      <alignment horizontal="center" vertical="center" wrapText="1"/>
    </xf>
    <xf numFmtId="4" fontId="21" fillId="4" borderId="1" xfId="0" applyNumberFormat="1" applyFont="1" applyFill="1" applyBorder="1" applyAlignment="1">
      <alignment horizontal="center" vertical="center" wrapText="1"/>
    </xf>
    <xf numFmtId="4" fontId="21" fillId="0" borderId="1" xfId="0" applyNumberFormat="1" applyFont="1" applyFill="1" applyBorder="1" applyAlignment="1">
      <alignment horizontal="center" vertical="center" wrapText="1"/>
    </xf>
    <xf numFmtId="4" fontId="20" fillId="4" borderId="1" xfId="0" applyNumberFormat="1" applyFont="1" applyFill="1" applyBorder="1" applyAlignment="1">
      <alignment horizontal="center" vertical="center" wrapText="1"/>
    </xf>
    <xf numFmtId="4" fontId="25" fillId="4" borderId="1" xfId="0" applyNumberFormat="1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wrapText="1"/>
    </xf>
    <xf numFmtId="0" fontId="11" fillId="4" borderId="1" xfId="0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3" fontId="8" fillId="0" borderId="1" xfId="0" applyNumberFormat="1" applyFont="1" applyFill="1" applyBorder="1" applyAlignment="1">
      <alignment horizontal="center" vertical="center" wrapText="1"/>
    </xf>
    <xf numFmtId="4" fontId="7" fillId="0" borderId="1" xfId="3" applyNumberFormat="1" applyFont="1" applyFill="1" applyBorder="1" applyAlignment="1">
      <alignment horizontal="center" vertic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" fontId="7" fillId="4" borderId="1" xfId="3" applyNumberFormat="1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wrapText="1"/>
    </xf>
    <xf numFmtId="49" fontId="7" fillId="0" borderId="4" xfId="0" quotePrefix="1" applyNumberFormat="1" applyFont="1" applyFill="1" applyBorder="1" applyAlignment="1">
      <alignment horizontal="center" vertical="center" wrapText="1"/>
    </xf>
    <xf numFmtId="4" fontId="21" fillId="0" borderId="1" xfId="0" applyNumberFormat="1" applyFont="1" applyBorder="1" applyAlignment="1">
      <alignment horizontal="center" vertical="center" wrapText="1"/>
    </xf>
    <xf numFmtId="4" fontId="21" fillId="0" borderId="1" xfId="3" applyNumberFormat="1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0" fillId="0" borderId="9" xfId="0" applyFont="1" applyBorder="1" applyAlignment="1">
      <alignment horizontal="center" vertical="center" wrapText="1"/>
    </xf>
    <xf numFmtId="49" fontId="20" fillId="0" borderId="7" xfId="0" applyNumberFormat="1" applyFont="1" applyBorder="1" applyAlignment="1">
      <alignment horizontal="center" vertical="center" wrapText="1"/>
    </xf>
    <xf numFmtId="49" fontId="20" fillId="4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  <xf numFmtId="0" fontId="1" fillId="7" borderId="1" xfId="0" applyFont="1" applyFill="1" applyBorder="1" applyAlignment="1">
      <alignment wrapText="1"/>
    </xf>
    <xf numFmtId="0" fontId="1" fillId="7" borderId="0" xfId="0" applyFont="1" applyFill="1"/>
    <xf numFmtId="4" fontId="26" fillId="8" borderId="1" xfId="0" applyNumberFormat="1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wrapText="1"/>
    </xf>
    <xf numFmtId="0" fontId="1" fillId="8" borderId="0" xfId="0" applyFont="1" applyFill="1"/>
    <xf numFmtId="4" fontId="20" fillId="8" borderId="1" xfId="0" applyNumberFormat="1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wrapText="1"/>
    </xf>
    <xf numFmtId="0" fontId="8" fillId="7" borderId="0" xfId="0" applyFont="1" applyFill="1"/>
    <xf numFmtId="0" fontId="17" fillId="8" borderId="1" xfId="2" applyFont="1" applyFill="1" applyBorder="1" applyAlignment="1">
      <alignment horizontal="center" vertical="center" wrapText="1"/>
    </xf>
    <xf numFmtId="4" fontId="10" fillId="8" borderId="1" xfId="0" applyNumberFormat="1" applyFont="1" applyFill="1" applyBorder="1" applyAlignment="1">
      <alignment horizontal="center" vertical="center" wrapText="1"/>
    </xf>
    <xf numFmtId="0" fontId="2" fillId="8" borderId="1" xfId="0" applyFont="1" applyFill="1" applyBorder="1" applyAlignment="1">
      <alignment wrapText="1"/>
    </xf>
    <xf numFmtId="0" fontId="2" fillId="8" borderId="0" xfId="0" applyFont="1" applyFill="1"/>
    <xf numFmtId="0" fontId="10" fillId="8" borderId="1" xfId="0" applyFont="1" applyFill="1" applyBorder="1" applyAlignment="1">
      <alignment wrapText="1"/>
    </xf>
    <xf numFmtId="0" fontId="10" fillId="8" borderId="0" xfId="0" applyFont="1" applyFill="1"/>
    <xf numFmtId="0" fontId="14" fillId="8" borderId="1" xfId="2" applyFont="1" applyFill="1" applyBorder="1" applyAlignment="1">
      <alignment horizontal="center" vertical="center" wrapText="1"/>
    </xf>
    <xf numFmtId="4" fontId="8" fillId="8" borderId="1" xfId="0" applyNumberFormat="1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wrapText="1"/>
    </xf>
    <xf numFmtId="0" fontId="8" fillId="8" borderId="0" xfId="0" applyFont="1" applyFill="1"/>
    <xf numFmtId="4" fontId="14" fillId="4" borderId="1" xfId="2" applyNumberFormat="1" applyFont="1" applyFill="1" applyBorder="1" applyAlignment="1">
      <alignment horizontal="center" vertical="center" wrapText="1"/>
    </xf>
    <xf numFmtId="0" fontId="0" fillId="4" borderId="1" xfId="0" applyFill="1" applyBorder="1" applyAlignment="1">
      <alignment wrapText="1"/>
    </xf>
    <xf numFmtId="49" fontId="7" fillId="4" borderId="1" xfId="2" applyNumberFormat="1" applyFont="1" applyFill="1" applyBorder="1" applyAlignment="1">
      <alignment horizontal="center" vertical="center" wrapText="1"/>
    </xf>
    <xf numFmtId="0" fontId="21" fillId="4" borderId="1" xfId="2" applyFont="1" applyFill="1" applyBorder="1" applyAlignment="1">
      <alignment horizontal="center" vertical="center" wrapText="1"/>
    </xf>
    <xf numFmtId="0" fontId="14" fillId="4" borderId="1" xfId="2" applyFont="1" applyFill="1" applyBorder="1" applyAlignment="1">
      <alignment horizontal="center" vertical="center" wrapText="1"/>
    </xf>
    <xf numFmtId="0" fontId="15" fillId="4" borderId="1" xfId="0" applyNumberFormat="1" applyFont="1" applyFill="1" applyBorder="1" applyAlignment="1">
      <alignment horizontal="center" vertical="center" wrapText="1"/>
    </xf>
    <xf numFmtId="0" fontId="16" fillId="4" borderId="1" xfId="0" applyNumberFormat="1" applyFont="1" applyFill="1" applyBorder="1" applyAlignment="1">
      <alignment horizontal="center" vertical="center" wrapText="1"/>
    </xf>
    <xf numFmtId="1" fontId="0" fillId="4" borderId="1" xfId="0" applyNumberFormat="1" applyFill="1" applyBorder="1" applyAlignment="1">
      <alignment wrapText="1"/>
    </xf>
    <xf numFmtId="164" fontId="0" fillId="4" borderId="1" xfId="0" applyNumberFormat="1" applyFill="1" applyBorder="1" applyAlignment="1">
      <alignment wrapText="1"/>
    </xf>
    <xf numFmtId="165" fontId="0" fillId="4" borderId="1" xfId="1" applyNumberFormat="1" applyFont="1" applyFill="1" applyBorder="1" applyAlignment="1">
      <alignment wrapText="1"/>
    </xf>
    <xf numFmtId="165" fontId="5" fillId="4" borderId="1" xfId="1" applyNumberFormat="1" applyFont="1" applyFill="1" applyBorder="1" applyAlignment="1">
      <alignment horizontal="center" vertical="center" wrapText="1"/>
    </xf>
    <xf numFmtId="4" fontId="7" fillId="4" borderId="1" xfId="2" applyNumberFormat="1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" fillId="8" borderId="1" xfId="0" applyFont="1" applyFill="1" applyBorder="1" applyAlignment="1">
      <alignment horizontal="center" vertical="center" wrapText="1"/>
    </xf>
    <xf numFmtId="0" fontId="1" fillId="8" borderId="0" xfId="0" applyFont="1" applyFill="1" applyAlignment="1">
      <alignment horizontal="center" vertical="center"/>
    </xf>
    <xf numFmtId="0" fontId="1" fillId="7" borderId="1" xfId="0" applyFont="1" applyFill="1" applyBorder="1" applyAlignment="1">
      <alignment horizontal="center" vertical="center" wrapText="1"/>
    </xf>
    <xf numFmtId="0" fontId="1" fillId="7" borderId="0" xfId="0" applyFont="1" applyFill="1" applyAlignment="1">
      <alignment horizontal="center" vertical="center"/>
    </xf>
    <xf numFmtId="0" fontId="22" fillId="8" borderId="1" xfId="0" applyFont="1" applyFill="1" applyBorder="1" applyAlignment="1">
      <alignment horizontal="center" vertical="center" wrapText="1"/>
    </xf>
    <xf numFmtId="0" fontId="10" fillId="8" borderId="1" xfId="0" applyFont="1" applyFill="1" applyBorder="1" applyAlignment="1">
      <alignment horizontal="center" vertical="center" wrapText="1"/>
    </xf>
    <xf numFmtId="4" fontId="9" fillId="8" borderId="1" xfId="0" applyNumberFormat="1" applyFont="1" applyFill="1" applyBorder="1" applyAlignment="1">
      <alignment horizontal="center" vertical="center" wrapText="1"/>
    </xf>
    <xf numFmtId="0" fontId="5" fillId="8" borderId="1" xfId="2" applyFont="1" applyFill="1" applyBorder="1" applyAlignment="1">
      <alignment horizontal="center" vertical="center" wrapText="1"/>
    </xf>
    <xf numFmtId="0" fontId="8" fillId="7" borderId="1" xfId="0" applyFont="1" applyFill="1" applyBorder="1" applyAlignment="1">
      <alignment horizontal="center" vertical="center" wrapText="1"/>
    </xf>
    <xf numFmtId="0" fontId="8" fillId="7" borderId="0" xfId="0" applyFont="1" applyFill="1" applyAlignment="1">
      <alignment horizontal="center" vertical="center"/>
    </xf>
    <xf numFmtId="0" fontId="13" fillId="8" borderId="1" xfId="0" applyFont="1" applyFill="1" applyBorder="1" applyAlignment="1">
      <alignment horizontal="center" vertical="center" wrapText="1"/>
    </xf>
    <xf numFmtId="0" fontId="11" fillId="8" borderId="1" xfId="0" applyFont="1" applyFill="1" applyBorder="1" applyAlignment="1">
      <alignment horizontal="center" vertical="center" wrapText="1"/>
    </xf>
    <xf numFmtId="0" fontId="25" fillId="8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vertical="center" wrapText="1"/>
    </xf>
    <xf numFmtId="0" fontId="8" fillId="8" borderId="0" xfId="0" applyFont="1" applyFill="1" applyAlignment="1">
      <alignment vertical="center"/>
    </xf>
    <xf numFmtId="0" fontId="20" fillId="3" borderId="1" xfId="0" applyFont="1" applyFill="1" applyBorder="1" applyAlignment="1">
      <alignment horizontal="center" vertical="center" wrapText="1"/>
    </xf>
    <xf numFmtId="49" fontId="19" fillId="0" borderId="1" xfId="0" applyNumberFormat="1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0" fillId="0" borderId="1" xfId="0" applyNumberFormat="1" applyFont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9" fontId="25" fillId="0" borderId="0" xfId="0" applyNumberFormat="1" applyFont="1" applyAlignment="1">
      <alignment horizontal="center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7" fillId="4" borderId="1" xfId="2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5" fillId="0" borderId="6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center" wrapText="1"/>
    </xf>
    <xf numFmtId="49" fontId="21" fillId="4" borderId="1" xfId="2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wrapText="1"/>
    </xf>
    <xf numFmtId="0" fontId="1" fillId="4" borderId="0" xfId="0" applyFont="1" applyFill="1"/>
    <xf numFmtId="0" fontId="8" fillId="8" borderId="1" xfId="0" applyFont="1" applyFill="1" applyBorder="1" applyAlignment="1">
      <alignment horizontal="center" vertical="center" wrapText="1"/>
    </xf>
    <xf numFmtId="0" fontId="8" fillId="8" borderId="0" xfId="0" applyFont="1" applyFill="1" applyAlignment="1">
      <alignment horizontal="center" vertical="center"/>
    </xf>
    <xf numFmtId="0" fontId="1" fillId="8" borderId="0" xfId="0" applyFont="1" applyFill="1" applyAlignment="1">
      <alignment wrapText="1"/>
    </xf>
    <xf numFmtId="49" fontId="28" fillId="0" borderId="3" xfId="0" applyNumberFormat="1" applyFont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9" fillId="7" borderId="1" xfId="0" applyNumberFormat="1" applyFont="1" applyFill="1" applyBorder="1" applyAlignment="1">
      <alignment horizontal="center" vertical="center" wrapText="1"/>
    </xf>
    <xf numFmtId="49" fontId="7" fillId="8" borderId="1" xfId="0" applyNumberFormat="1" applyFont="1" applyFill="1" applyBorder="1" applyAlignment="1">
      <alignment horizontal="center" vertical="center" wrapText="1"/>
    </xf>
    <xf numFmtId="49" fontId="9" fillId="8" borderId="1" xfId="0" applyNumberFormat="1" applyFont="1" applyFill="1" applyBorder="1" applyAlignment="1">
      <alignment horizontal="center" vertical="center" wrapText="1"/>
    </xf>
    <xf numFmtId="49" fontId="7" fillId="7" borderId="1" xfId="0" applyNumberFormat="1" applyFont="1" applyFill="1" applyBorder="1" applyAlignment="1">
      <alignment horizontal="center" vertical="center" wrapText="1"/>
    </xf>
    <xf numFmtId="49" fontId="9" fillId="7" borderId="4" xfId="0" applyNumberFormat="1" applyFont="1" applyFill="1" applyBorder="1" applyAlignment="1">
      <alignment horizontal="center" vertical="center" wrapText="1"/>
    </xf>
    <xf numFmtId="49" fontId="29" fillId="7" borderId="1" xfId="0" applyNumberFormat="1" applyFont="1" applyFill="1" applyBorder="1" applyAlignment="1">
      <alignment horizontal="center" vertical="center" wrapText="1"/>
    </xf>
    <xf numFmtId="49" fontId="21" fillId="8" borderId="1" xfId="0" applyNumberFormat="1" applyFont="1" applyFill="1" applyBorder="1" applyAlignment="1">
      <alignment horizontal="center" vertical="center" wrapText="1"/>
    </xf>
    <xf numFmtId="49" fontId="9" fillId="7" borderId="2" xfId="0" applyNumberFormat="1" applyFont="1" applyFill="1" applyBorder="1" applyAlignment="1">
      <alignment horizontal="center" vertical="center" wrapText="1"/>
    </xf>
    <xf numFmtId="49" fontId="30" fillId="8" borderId="1" xfId="0" applyNumberFormat="1" applyFont="1" applyFill="1" applyBorder="1" applyAlignment="1">
      <alignment horizontal="center" vertical="center" wrapText="1"/>
    </xf>
    <xf numFmtId="49" fontId="31" fillId="7" borderId="1" xfId="0" applyNumberFormat="1" applyFont="1" applyFill="1" applyBorder="1" applyAlignment="1">
      <alignment horizontal="center" vertical="center" wrapText="1"/>
    </xf>
    <xf numFmtId="49" fontId="28" fillId="0" borderId="1" xfId="0" applyNumberFormat="1" applyFont="1" applyBorder="1" applyAlignment="1">
      <alignment horizontal="center" vertical="center" wrapText="1"/>
    </xf>
    <xf numFmtId="0" fontId="28" fillId="0" borderId="1" xfId="0" applyFont="1" applyBorder="1" applyAlignment="1">
      <alignment horizontal="center" vertical="center" wrapText="1"/>
    </xf>
    <xf numFmtId="4" fontId="32" fillId="0" borderId="1" xfId="0" applyNumberFormat="1" applyFont="1" applyBorder="1" applyAlignment="1">
      <alignment horizontal="center" vertical="center" wrapText="1"/>
    </xf>
    <xf numFmtId="0" fontId="30" fillId="4" borderId="1" xfId="0" applyFont="1" applyFill="1" applyBorder="1" applyAlignment="1">
      <alignment horizontal="center" vertical="center" wrapText="1"/>
    </xf>
    <xf numFmtId="0" fontId="33" fillId="4" borderId="0" xfId="0" applyFont="1" applyFill="1" applyBorder="1" applyAlignment="1">
      <alignment wrapText="1"/>
    </xf>
    <xf numFmtId="0" fontId="33" fillId="4" borderId="0" xfId="0" applyFont="1" applyFill="1"/>
    <xf numFmtId="4" fontId="30" fillId="4" borderId="1" xfId="0" applyNumberFormat="1" applyFont="1" applyFill="1" applyBorder="1" applyAlignment="1">
      <alignment horizontal="center" vertical="center" wrapText="1"/>
    </xf>
    <xf numFmtId="49" fontId="30" fillId="4" borderId="1" xfId="0" applyNumberFormat="1" applyFont="1" applyFill="1" applyBorder="1" applyAlignment="1">
      <alignment horizontal="center" vertical="center" wrapText="1"/>
    </xf>
    <xf numFmtId="0" fontId="30" fillId="8" borderId="1" xfId="0" applyFont="1" applyFill="1" applyBorder="1" applyAlignment="1">
      <alignment horizontal="center" vertical="center" wrapText="1"/>
    </xf>
    <xf numFmtId="4" fontId="30" fillId="8" borderId="1" xfId="0" applyNumberFormat="1" applyFont="1" applyFill="1" applyBorder="1" applyAlignment="1">
      <alignment horizontal="center" vertical="center" wrapText="1"/>
    </xf>
    <xf numFmtId="0" fontId="33" fillId="8" borderId="0" xfId="0" applyFont="1" applyFill="1"/>
    <xf numFmtId="0" fontId="9" fillId="7" borderId="1" xfId="0" applyFont="1" applyFill="1" applyBorder="1" applyAlignment="1">
      <alignment horizontal="center" vertical="center" wrapText="1"/>
    </xf>
    <xf numFmtId="0" fontId="7" fillId="7" borderId="0" xfId="0" applyFont="1" applyFill="1" applyBorder="1" applyAlignment="1">
      <alignment wrapText="1"/>
    </xf>
    <xf numFmtId="0" fontId="7" fillId="7" borderId="0" xfId="0" applyFont="1" applyFill="1"/>
    <xf numFmtId="4" fontId="30" fillId="7" borderId="0" xfId="0" applyNumberFormat="1" applyFont="1" applyFill="1" applyBorder="1" applyAlignment="1">
      <alignment horizontal="center" vertical="center" wrapText="1"/>
    </xf>
    <xf numFmtId="0" fontId="33" fillId="7" borderId="0" xfId="0" applyFont="1" applyFill="1"/>
    <xf numFmtId="0" fontId="31" fillId="8" borderId="1" xfId="0" applyFont="1" applyFill="1" applyBorder="1" applyAlignment="1">
      <alignment horizontal="center" vertical="center" wrapText="1"/>
    </xf>
    <xf numFmtId="4" fontId="31" fillId="8" borderId="0" xfId="0" applyNumberFormat="1" applyFont="1" applyFill="1" applyBorder="1" applyAlignment="1">
      <alignment horizontal="center" vertical="center" wrapText="1"/>
    </xf>
    <xf numFmtId="0" fontId="34" fillId="8" borderId="0" xfId="0" applyFont="1" applyFill="1"/>
    <xf numFmtId="4" fontId="31" fillId="8" borderId="1" xfId="0" applyNumberFormat="1" applyFont="1" applyFill="1" applyBorder="1" applyAlignment="1">
      <alignment horizontal="center" vertical="center" wrapText="1"/>
    </xf>
    <xf numFmtId="49" fontId="30" fillId="4" borderId="2" xfId="0" applyNumberFormat="1" applyFont="1" applyFill="1" applyBorder="1" applyAlignment="1">
      <alignment horizontal="center" vertical="center" wrapText="1"/>
    </xf>
    <xf numFmtId="49" fontId="30" fillId="4" borderId="3" xfId="0" applyNumberFormat="1" applyFont="1" applyFill="1" applyBorder="1" applyAlignment="1">
      <alignment horizontal="center" vertical="center" wrapText="1"/>
    </xf>
    <xf numFmtId="0" fontId="30" fillId="4" borderId="2" xfId="0" applyFont="1" applyFill="1" applyBorder="1" applyAlignment="1">
      <alignment horizontal="center" vertical="center" wrapText="1"/>
    </xf>
    <xf numFmtId="0" fontId="30" fillId="4" borderId="3" xfId="0" applyFont="1" applyFill="1" applyBorder="1" applyAlignment="1">
      <alignment horizontal="center" vertical="center" wrapText="1"/>
    </xf>
    <xf numFmtId="49" fontId="31" fillId="7" borderId="5" xfId="0" applyNumberFormat="1" applyFont="1" applyFill="1" applyBorder="1" applyAlignment="1">
      <alignment horizontal="center" vertical="center" wrapText="1"/>
    </xf>
    <xf numFmtId="49" fontId="31" fillId="7" borderId="6" xfId="0" applyNumberFormat="1" applyFont="1" applyFill="1" applyBorder="1" applyAlignment="1">
      <alignment horizontal="center" vertical="center" wrapText="1"/>
    </xf>
    <xf numFmtId="0" fontId="9" fillId="7" borderId="1" xfId="0" applyFont="1" applyFill="1" applyBorder="1" applyAlignment="1">
      <alignment horizontal="center" vertical="center" wrapText="1"/>
    </xf>
    <xf numFmtId="49" fontId="31" fillId="8" borderId="4" xfId="0" applyNumberFormat="1" applyFont="1" applyFill="1" applyBorder="1" applyAlignment="1">
      <alignment horizontal="right" vertical="center" wrapText="1"/>
    </xf>
    <xf numFmtId="49" fontId="31" fillId="8" borderId="5" xfId="0" applyNumberFormat="1" applyFont="1" applyFill="1" applyBorder="1" applyAlignment="1">
      <alignment horizontal="right" vertical="center" wrapText="1"/>
    </xf>
    <xf numFmtId="49" fontId="31" fillId="8" borderId="6" xfId="0" applyNumberFormat="1" applyFont="1" applyFill="1" applyBorder="1" applyAlignment="1">
      <alignment horizontal="right" vertical="center" wrapText="1"/>
    </xf>
    <xf numFmtId="0" fontId="23" fillId="0" borderId="10" xfId="0" applyFont="1" applyBorder="1" applyAlignment="1">
      <alignment horizontal="center" vertical="center" wrapText="1"/>
    </xf>
    <xf numFmtId="49" fontId="10" fillId="7" borderId="5" xfId="0" applyNumberFormat="1" applyFont="1" applyFill="1" applyBorder="1" applyAlignment="1">
      <alignment horizontal="center" wrapText="1"/>
    </xf>
    <xf numFmtId="49" fontId="10" fillId="7" borderId="6" xfId="0" applyNumberFormat="1" applyFont="1" applyFill="1" applyBorder="1" applyAlignment="1">
      <alignment horizontal="center" wrapText="1"/>
    </xf>
    <xf numFmtId="49" fontId="10" fillId="7" borderId="4" xfId="0" applyNumberFormat="1" applyFont="1" applyFill="1" applyBorder="1" applyAlignment="1">
      <alignment horizontal="center" vertical="center" wrapText="1"/>
    </xf>
    <xf numFmtId="49" fontId="10" fillId="7" borderId="5" xfId="0" applyNumberFormat="1" applyFont="1" applyFill="1" applyBorder="1" applyAlignment="1">
      <alignment horizontal="center" vertical="center" wrapText="1"/>
    </xf>
    <xf numFmtId="49" fontId="10" fillId="7" borderId="6" xfId="0" applyNumberFormat="1" applyFont="1" applyFill="1" applyBorder="1" applyAlignment="1">
      <alignment horizontal="center" vertical="center" wrapText="1"/>
    </xf>
    <xf numFmtId="0" fontId="20" fillId="4" borderId="8" xfId="0" applyFont="1" applyFill="1" applyBorder="1" applyAlignment="1">
      <alignment horizontal="center" vertical="center" wrapText="1"/>
    </xf>
    <xf numFmtId="0" fontId="20" fillId="4" borderId="3" xfId="0" applyFont="1" applyFill="1" applyBorder="1" applyAlignment="1">
      <alignment horizontal="center" vertical="center" wrapText="1"/>
    </xf>
    <xf numFmtId="49" fontId="7" fillId="4" borderId="2" xfId="0" applyNumberFormat="1" applyFont="1" applyFill="1" applyBorder="1" applyAlignment="1">
      <alignment horizontal="center" vertical="center" wrapText="1"/>
    </xf>
    <xf numFmtId="49" fontId="7" fillId="4" borderId="3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20" fillId="0" borderId="2" xfId="0" applyFont="1" applyFill="1" applyBorder="1" applyAlignment="1">
      <alignment horizontal="center" vertical="center" wrapText="1"/>
    </xf>
    <xf numFmtId="0" fontId="20" fillId="0" borderId="3" xfId="0" applyFont="1" applyFill="1" applyBorder="1" applyAlignment="1">
      <alignment horizontal="center" vertical="center" wrapText="1"/>
    </xf>
    <xf numFmtId="49" fontId="21" fillId="0" borderId="2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49" fontId="21" fillId="4" borderId="2" xfId="0" applyNumberFormat="1" applyFont="1" applyFill="1" applyBorder="1" applyAlignment="1">
      <alignment horizontal="center" vertical="center" wrapText="1"/>
    </xf>
    <xf numFmtId="0" fontId="6" fillId="4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right" vertical="center" wrapText="1"/>
    </xf>
    <xf numFmtId="0" fontId="10" fillId="8" borderId="5" xfId="0" applyFont="1" applyFill="1" applyBorder="1" applyAlignment="1">
      <alignment horizontal="right" vertical="center" wrapText="1"/>
    </xf>
    <xf numFmtId="0" fontId="10" fillId="8" borderId="6" xfId="0" applyFont="1" applyFill="1" applyBorder="1" applyAlignment="1">
      <alignment horizontal="right" vertical="center" wrapText="1"/>
    </xf>
    <xf numFmtId="49" fontId="7" fillId="0" borderId="2" xfId="0" applyNumberFormat="1" applyFont="1" applyBorder="1" applyAlignment="1">
      <alignment horizontal="center" vertical="center" wrapText="1"/>
    </xf>
    <xf numFmtId="49" fontId="7" fillId="0" borderId="3" xfId="0" applyNumberFormat="1" applyFont="1" applyBorder="1" applyAlignment="1">
      <alignment horizontal="center" vertical="center" wrapText="1"/>
    </xf>
    <xf numFmtId="49" fontId="7" fillId="4" borderId="7" xfId="0" applyNumberFormat="1" applyFont="1" applyFill="1" applyBorder="1" applyAlignment="1">
      <alignment horizontal="center"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right" wrapText="1"/>
    </xf>
    <xf numFmtId="49" fontId="10" fillId="8" borderId="5" xfId="0" applyNumberFormat="1" applyFont="1" applyFill="1" applyBorder="1" applyAlignment="1">
      <alignment horizontal="right" wrapText="1"/>
    </xf>
    <xf numFmtId="49" fontId="10" fillId="8" borderId="6" xfId="0" applyNumberFormat="1" applyFont="1" applyFill="1" applyBorder="1" applyAlignment="1">
      <alignment horizontal="right" wrapText="1"/>
    </xf>
    <xf numFmtId="49" fontId="9" fillId="8" borderId="1" xfId="0" applyNumberFormat="1" applyFont="1" applyFill="1" applyBorder="1" applyAlignment="1">
      <alignment horizontal="right" wrapText="1"/>
    </xf>
    <xf numFmtId="49" fontId="18" fillId="8" borderId="1" xfId="0" applyNumberFormat="1" applyFont="1" applyFill="1" applyBorder="1" applyAlignment="1">
      <alignment horizontal="right" wrapText="1"/>
    </xf>
    <xf numFmtId="0" fontId="20" fillId="3" borderId="2" xfId="0" applyFont="1" applyFill="1" applyBorder="1" applyAlignment="1">
      <alignment horizontal="center" vertical="center" wrapText="1"/>
    </xf>
    <xf numFmtId="0" fontId="20" fillId="3" borderId="3" xfId="0" applyFont="1" applyFill="1" applyBorder="1" applyAlignment="1">
      <alignment horizontal="center" vertical="center" wrapText="1"/>
    </xf>
    <xf numFmtId="49" fontId="7" fillId="0" borderId="7" xfId="0" applyNumberFormat="1" applyFont="1" applyBorder="1" applyAlignment="1">
      <alignment horizontal="center" vertical="center" wrapText="1"/>
    </xf>
    <xf numFmtId="0" fontId="20" fillId="3" borderId="7" xfId="0" applyFont="1" applyFill="1" applyBorder="1" applyAlignment="1">
      <alignment horizontal="center" vertical="center" wrapText="1"/>
    </xf>
    <xf numFmtId="0" fontId="19" fillId="4" borderId="2" xfId="0" applyFont="1" applyFill="1" applyBorder="1" applyAlignment="1">
      <alignment horizontal="center" vertical="center" wrapText="1"/>
    </xf>
    <xf numFmtId="0" fontId="19" fillId="4" borderId="7" xfId="0" applyFont="1" applyFill="1" applyBorder="1" applyAlignment="1">
      <alignment horizontal="center" vertical="center" wrapText="1"/>
    </xf>
    <xf numFmtId="0" fontId="19" fillId="4" borderId="3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7" xfId="0" applyFont="1" applyFill="1" applyBorder="1" applyAlignment="1">
      <alignment horizontal="center" vertical="center" wrapText="1"/>
    </xf>
    <xf numFmtId="0" fontId="11" fillId="4" borderId="3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49" fontId="10" fillId="8" borderId="4" xfId="0" applyNumberFormat="1" applyFont="1" applyFill="1" applyBorder="1" applyAlignment="1">
      <alignment horizontal="right" vertical="center" wrapText="1"/>
    </xf>
    <xf numFmtId="49" fontId="10" fillId="8" borderId="5" xfId="0" applyNumberFormat="1" applyFont="1" applyFill="1" applyBorder="1" applyAlignment="1">
      <alignment horizontal="right" vertical="center" wrapText="1"/>
    </xf>
    <xf numFmtId="49" fontId="10" fillId="8" borderId="6" xfId="0" applyNumberFormat="1" applyFont="1" applyFill="1" applyBorder="1" applyAlignment="1">
      <alignment horizontal="right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9" fillId="4" borderId="1" xfId="0" applyFont="1" applyFill="1" applyBorder="1" applyAlignment="1">
      <alignment horizontal="center" vertical="center" wrapText="1"/>
    </xf>
    <xf numFmtId="0" fontId="13" fillId="7" borderId="1" xfId="0" applyFont="1" applyFill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0" fillId="4" borderId="2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right" vertical="center" wrapText="1"/>
    </xf>
    <xf numFmtId="0" fontId="10" fillId="7" borderId="4" xfId="0" applyFont="1" applyFill="1" applyBorder="1" applyAlignment="1">
      <alignment horizontal="center" vertical="center" wrapText="1"/>
    </xf>
    <xf numFmtId="0" fontId="10" fillId="7" borderId="5" xfId="0" applyFont="1" applyFill="1" applyBorder="1" applyAlignment="1">
      <alignment horizontal="center" vertical="center" wrapText="1"/>
    </xf>
    <xf numFmtId="0" fontId="10" fillId="7" borderId="6" xfId="0" applyFont="1" applyFill="1" applyBorder="1" applyAlignment="1">
      <alignment horizontal="center" vertical="center" wrapText="1"/>
    </xf>
    <xf numFmtId="0" fontId="20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8" borderId="1" xfId="0" applyFont="1" applyFill="1" applyBorder="1" applyAlignment="1">
      <alignment horizontal="center" wrapText="1"/>
    </xf>
    <xf numFmtId="49" fontId="7" fillId="4" borderId="1" xfId="0" applyNumberFormat="1" applyFont="1" applyFill="1" applyBorder="1" applyAlignment="1">
      <alignment horizontal="center" vertical="center" wrapText="1"/>
    </xf>
    <xf numFmtId="49" fontId="21" fillId="0" borderId="1" xfId="0" applyNumberFormat="1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0" borderId="7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3" fillId="7" borderId="4" xfId="0" applyFont="1" applyFill="1" applyBorder="1" applyAlignment="1">
      <alignment horizontal="center" vertical="center" wrapText="1"/>
    </xf>
    <xf numFmtId="0" fontId="13" fillId="7" borderId="5" xfId="0" applyFont="1" applyFill="1" applyBorder="1" applyAlignment="1">
      <alignment horizontal="center" vertical="center" wrapText="1"/>
    </xf>
    <xf numFmtId="0" fontId="13" fillId="7" borderId="6" xfId="0" applyFont="1" applyFill="1" applyBorder="1" applyAlignment="1">
      <alignment horizontal="center" vertical="center" wrapText="1"/>
    </xf>
    <xf numFmtId="49" fontId="28" fillId="0" borderId="2" xfId="0" applyNumberFormat="1" applyFont="1" applyBorder="1" applyAlignment="1">
      <alignment horizontal="center" vertical="center" wrapText="1"/>
    </xf>
    <xf numFmtId="49" fontId="28" fillId="0" borderId="7" xfId="0" applyNumberFormat="1" applyFont="1" applyBorder="1" applyAlignment="1">
      <alignment horizontal="center" vertical="center" wrapText="1"/>
    </xf>
    <xf numFmtId="49" fontId="28" fillId="0" borderId="3" xfId="0" applyNumberFormat="1" applyFont="1" applyBorder="1" applyAlignment="1">
      <alignment horizontal="center" vertical="center" wrapText="1"/>
    </xf>
    <xf numFmtId="49" fontId="21" fillId="0" borderId="1" xfId="0" applyNumberFormat="1" applyFont="1" applyFill="1" applyBorder="1" applyAlignment="1">
      <alignment horizontal="center" vertical="center" wrapText="1"/>
    </xf>
    <xf numFmtId="49" fontId="21" fillId="4" borderId="1" xfId="0" applyNumberFormat="1" applyFont="1" applyFill="1" applyBorder="1" applyAlignment="1">
      <alignment horizontal="center" vertical="center" wrapText="1"/>
    </xf>
    <xf numFmtId="0" fontId="13" fillId="8" borderId="4" xfId="0" applyFont="1" applyFill="1" applyBorder="1" applyAlignment="1">
      <alignment horizontal="right" vertical="center" wrapText="1"/>
    </xf>
    <xf numFmtId="0" fontId="13" fillId="8" borderId="5" xfId="0" applyFont="1" applyFill="1" applyBorder="1" applyAlignment="1">
      <alignment horizontal="right" vertical="center" wrapText="1"/>
    </xf>
    <xf numFmtId="0" fontId="13" fillId="8" borderId="6" xfId="0" applyFont="1" applyFill="1" applyBorder="1" applyAlignment="1">
      <alignment horizontal="right" vertical="center" wrapText="1"/>
    </xf>
    <xf numFmtId="0" fontId="13" fillId="7" borderId="2" xfId="0" applyFont="1" applyFill="1" applyBorder="1" applyAlignment="1">
      <alignment horizontal="center" vertical="center" wrapText="1"/>
    </xf>
    <xf numFmtId="49" fontId="21" fillId="0" borderId="2" xfId="0" applyNumberFormat="1" applyFont="1" applyBorder="1" applyAlignment="1">
      <alignment horizontal="center" vertical="center" wrapText="1"/>
    </xf>
    <xf numFmtId="49" fontId="21" fillId="0" borderId="3" xfId="0" applyNumberFormat="1" applyFont="1" applyBorder="1" applyAlignment="1">
      <alignment horizontal="center" vertical="center" wrapText="1"/>
    </xf>
    <xf numFmtId="49" fontId="9" fillId="8" borderId="4" xfId="0" applyNumberFormat="1" applyFont="1" applyFill="1" applyBorder="1" applyAlignment="1">
      <alignment horizontal="right" vertical="center" wrapText="1"/>
    </xf>
    <xf numFmtId="49" fontId="18" fillId="8" borderId="5" xfId="0" applyNumberFormat="1" applyFont="1" applyFill="1" applyBorder="1" applyAlignment="1">
      <alignment horizontal="right" vertical="center" wrapText="1"/>
    </xf>
    <xf numFmtId="49" fontId="18" fillId="8" borderId="6" xfId="0" applyNumberFormat="1" applyFont="1" applyFill="1" applyBorder="1" applyAlignment="1">
      <alignment horizontal="right" vertical="center" wrapText="1"/>
    </xf>
    <xf numFmtId="0" fontId="19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0" fontId="25" fillId="0" borderId="2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center" vertical="center" wrapText="1"/>
    </xf>
    <xf numFmtId="49" fontId="30" fillId="0" borderId="2" xfId="0" applyNumberFormat="1" applyFont="1" applyBorder="1" applyAlignment="1">
      <alignment horizontal="center" vertical="center" wrapText="1"/>
    </xf>
    <xf numFmtId="49" fontId="30" fillId="0" borderId="3" xfId="0" applyNumberFormat="1" applyFont="1" applyBorder="1" applyAlignment="1">
      <alignment horizontal="center" vertical="center" wrapText="1"/>
    </xf>
    <xf numFmtId="0" fontId="26" fillId="8" borderId="4" xfId="0" applyFont="1" applyFill="1" applyBorder="1" applyAlignment="1">
      <alignment horizontal="right" vertical="center" wrapText="1"/>
    </xf>
    <xf numFmtId="0" fontId="26" fillId="8" borderId="5" xfId="0" applyFont="1" applyFill="1" applyBorder="1" applyAlignment="1">
      <alignment horizontal="right" vertical="center" wrapText="1"/>
    </xf>
    <xf numFmtId="0" fontId="26" fillId="8" borderId="6" xfId="0" applyFont="1" applyFill="1" applyBorder="1" applyAlignment="1">
      <alignment horizontal="right" vertical="center" wrapText="1"/>
    </xf>
    <xf numFmtId="0" fontId="27" fillId="7" borderId="4" xfId="0" applyFont="1" applyFill="1" applyBorder="1" applyAlignment="1">
      <alignment horizontal="center" vertical="center" wrapText="1"/>
    </xf>
    <xf numFmtId="0" fontId="27" fillId="7" borderId="5" xfId="0" applyFont="1" applyFill="1" applyBorder="1" applyAlignment="1">
      <alignment horizontal="center" vertical="center" wrapText="1"/>
    </xf>
    <xf numFmtId="0" fontId="27" fillId="7" borderId="6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right" wrapText="1"/>
    </xf>
    <xf numFmtId="0" fontId="10" fillId="8" borderId="5" xfId="0" applyFont="1" applyFill="1" applyBorder="1" applyAlignment="1">
      <alignment horizontal="right" wrapText="1"/>
    </xf>
    <xf numFmtId="0" fontId="10" fillId="8" borderId="6" xfId="0" applyFont="1" applyFill="1" applyBorder="1" applyAlignment="1">
      <alignment horizontal="right" wrapText="1"/>
    </xf>
    <xf numFmtId="0" fontId="19" fillId="0" borderId="1" xfId="0" applyFont="1" applyFill="1" applyBorder="1" applyAlignment="1">
      <alignment horizontal="center" vertical="center" wrapText="1"/>
    </xf>
    <xf numFmtId="49" fontId="32" fillId="0" borderId="1" xfId="0" applyNumberFormat="1" applyFont="1" applyBorder="1" applyAlignment="1">
      <alignment horizontal="center" vertical="center" wrapText="1"/>
    </xf>
  </cellXfs>
  <cellStyles count="5">
    <cellStyle name="Обычный" xfId="0" builtinId="0"/>
    <cellStyle name="Обычный 2" xfId="2"/>
    <cellStyle name="Обычный 2 28" xfId="4"/>
    <cellStyle name="Обычный 5" xfId="3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Usert\Downloads\&#1090;&#1072;&#1073;&#1083;&#1080;&#1094;&#1072;%202019-2023&#1075;&#1075;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</sheetNames>
    <sheetDataSet>
      <sheetData sheetId="0" refreshError="1">
        <row r="15">
          <cell r="D15" t="str">
            <v>Возврат части неизрасходованной субсидии в 2020г.</v>
          </cell>
          <cell r="F15">
            <v>36.200000000000003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rid.minfin.rk.gov.ru/application/main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1488"/>
  <sheetViews>
    <sheetView tabSelected="1" view="pageBreakPreview" topLeftCell="A1486" zoomScale="80" zoomScaleNormal="100" zoomScaleSheetLayoutView="80" workbookViewId="0">
      <selection activeCell="A1487" sqref="A1487:D1487"/>
    </sheetView>
  </sheetViews>
  <sheetFormatPr defaultRowHeight="12.75" x14ac:dyDescent="0.2"/>
  <cols>
    <col min="1" max="1" width="9.140625" style="180"/>
    <col min="2" max="2" width="57.7109375" style="131" customWidth="1"/>
    <col min="3" max="3" width="35.7109375" style="151" customWidth="1"/>
    <col min="4" max="4" width="27.28515625" style="135" customWidth="1"/>
    <col min="5" max="5" width="20.28515625" style="151" customWidth="1"/>
    <col min="6" max="6" width="20.28515625" style="156" customWidth="1"/>
    <col min="7" max="7" width="24.42578125" style="156" customWidth="1"/>
    <col min="8" max="8" width="19.85546875" style="156" customWidth="1"/>
    <col min="9" max="9" width="20.28515625" style="156" customWidth="1"/>
    <col min="10" max="10" width="21" style="156" customWidth="1"/>
    <col min="11" max="11" width="20.5703125" style="83" hidden="1" customWidth="1"/>
    <col min="12" max="16384" width="9.140625" style="2"/>
  </cols>
  <sheetData>
    <row r="1" spans="1:11" s="1" customFormat="1" ht="75" customHeight="1" x14ac:dyDescent="0.25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</row>
    <row r="2" spans="1:11" x14ac:dyDescent="0.2">
      <c r="A2" s="168"/>
      <c r="B2" s="55"/>
      <c r="C2" s="152"/>
      <c r="D2" s="143"/>
      <c r="E2" s="152"/>
      <c r="F2" s="155"/>
      <c r="G2" s="155"/>
      <c r="H2" s="155"/>
      <c r="I2" s="155"/>
      <c r="J2" s="155"/>
      <c r="K2" s="84"/>
    </row>
    <row r="3" spans="1:11" s="41" customFormat="1" ht="31.5" x14ac:dyDescent="0.25">
      <c r="A3" s="169" t="s">
        <v>1</v>
      </c>
      <c r="B3" s="115" t="s">
        <v>2</v>
      </c>
      <c r="C3" s="26" t="s">
        <v>3</v>
      </c>
      <c r="D3" s="26" t="s">
        <v>4</v>
      </c>
      <c r="E3" s="26" t="s">
        <v>5</v>
      </c>
      <c r="F3" s="56" t="s">
        <v>6</v>
      </c>
      <c r="G3" s="56" t="s">
        <v>7</v>
      </c>
      <c r="H3" s="56" t="s">
        <v>8</v>
      </c>
      <c r="I3" s="56" t="s">
        <v>9</v>
      </c>
      <c r="J3" s="56" t="s">
        <v>10</v>
      </c>
      <c r="K3" s="65" t="s">
        <v>1335</v>
      </c>
    </row>
    <row r="4" spans="1:11" s="86" customFormat="1" ht="24" customHeight="1" x14ac:dyDescent="0.2">
      <c r="A4" s="170" t="s">
        <v>24</v>
      </c>
      <c r="B4" s="257" t="s">
        <v>25</v>
      </c>
      <c r="C4" s="257"/>
      <c r="D4" s="257"/>
      <c r="E4" s="257"/>
      <c r="F4" s="257"/>
      <c r="G4" s="257"/>
      <c r="H4" s="257"/>
      <c r="I4" s="257"/>
      <c r="J4" s="257"/>
      <c r="K4" s="85"/>
    </row>
    <row r="5" spans="1:11" s="3" customFormat="1" ht="45.75" customHeight="1" x14ac:dyDescent="0.25">
      <c r="A5" s="255" t="s">
        <v>11</v>
      </c>
      <c r="B5" s="256" t="s">
        <v>26</v>
      </c>
      <c r="C5" s="146" t="s">
        <v>27</v>
      </c>
      <c r="D5" s="139" t="s">
        <v>28</v>
      </c>
      <c r="E5" s="146" t="s">
        <v>29</v>
      </c>
      <c r="F5" s="103">
        <v>3923</v>
      </c>
      <c r="G5" s="103">
        <v>2700</v>
      </c>
      <c r="H5" s="103">
        <v>2700</v>
      </c>
      <c r="I5" s="103">
        <v>2700</v>
      </c>
      <c r="J5" s="103">
        <v>2700</v>
      </c>
      <c r="K5" s="104"/>
    </row>
    <row r="6" spans="1:11" s="3" customFormat="1" ht="59.25" customHeight="1" x14ac:dyDescent="0.25">
      <c r="A6" s="255"/>
      <c r="B6" s="256"/>
      <c r="C6" s="105" t="s">
        <v>30</v>
      </c>
      <c r="D6" s="106" t="s">
        <v>296</v>
      </c>
      <c r="E6" s="107" t="s">
        <v>31</v>
      </c>
      <c r="F6" s="103">
        <v>18486.558000000001</v>
      </c>
      <c r="G6" s="103">
        <f>24918.79704+1863.9289</f>
        <v>26782.72594</v>
      </c>
      <c r="H6" s="103">
        <f>24918.79704+1863.9289</f>
        <v>26782.72594</v>
      </c>
      <c r="I6" s="103">
        <f t="shared" ref="I6:J6" si="0">24918.79704+1863.9289</f>
        <v>26782.72594</v>
      </c>
      <c r="J6" s="103">
        <f t="shared" si="0"/>
        <v>26782.72594</v>
      </c>
      <c r="K6" s="104"/>
    </row>
    <row r="7" spans="1:11" s="3" customFormat="1" ht="46.5" customHeight="1" x14ac:dyDescent="0.25">
      <c r="A7" s="255" t="s">
        <v>13</v>
      </c>
      <c r="B7" s="256" t="s">
        <v>32</v>
      </c>
      <c r="C7" s="146" t="s">
        <v>33</v>
      </c>
      <c r="D7" s="139" t="s">
        <v>34</v>
      </c>
      <c r="E7" s="146" t="s">
        <v>12</v>
      </c>
      <c r="F7" s="103">
        <v>510</v>
      </c>
      <c r="G7" s="103">
        <v>500</v>
      </c>
      <c r="H7" s="103">
        <v>500</v>
      </c>
      <c r="I7" s="103">
        <v>500</v>
      </c>
      <c r="J7" s="103">
        <v>500</v>
      </c>
      <c r="K7" s="104"/>
    </row>
    <row r="8" spans="1:11" s="3" customFormat="1" ht="53.25" customHeight="1" x14ac:dyDescent="0.25">
      <c r="A8" s="255"/>
      <c r="B8" s="256"/>
      <c r="C8" s="105" t="s">
        <v>30</v>
      </c>
      <c r="D8" s="106" t="s">
        <v>35</v>
      </c>
      <c r="E8" s="107" t="s">
        <v>31</v>
      </c>
      <c r="F8" s="103">
        <v>18799.55</v>
      </c>
      <c r="G8" s="103">
        <f>13851.88626+1863.9289</f>
        <v>15715.81516</v>
      </c>
      <c r="H8" s="103">
        <f>13851.88626+1863.9289</f>
        <v>15715.81516</v>
      </c>
      <c r="I8" s="103">
        <f t="shared" ref="I8:J8" si="1">13851.88626+1863.9289</f>
        <v>15715.81516</v>
      </c>
      <c r="J8" s="103">
        <f t="shared" si="1"/>
        <v>15715.81516</v>
      </c>
      <c r="K8" s="104"/>
    </row>
    <row r="9" spans="1:11" s="3" customFormat="1" ht="53.25" customHeight="1" x14ac:dyDescent="0.25">
      <c r="A9" s="255" t="s">
        <v>14</v>
      </c>
      <c r="B9" s="256" t="s">
        <v>36</v>
      </c>
      <c r="C9" s="108" t="s">
        <v>37</v>
      </c>
      <c r="D9" s="106" t="s">
        <v>38</v>
      </c>
      <c r="E9" s="107" t="s">
        <v>39</v>
      </c>
      <c r="F9" s="103">
        <v>15521</v>
      </c>
      <c r="G9" s="103">
        <v>13965</v>
      </c>
      <c r="H9" s="103">
        <v>13965</v>
      </c>
      <c r="I9" s="103">
        <v>13965</v>
      </c>
      <c r="J9" s="103">
        <v>13965</v>
      </c>
      <c r="K9" s="104"/>
    </row>
    <row r="10" spans="1:11" s="3" customFormat="1" ht="53.25" customHeight="1" x14ac:dyDescent="0.25">
      <c r="A10" s="255"/>
      <c r="B10" s="256"/>
      <c r="C10" s="105" t="s">
        <v>30</v>
      </c>
      <c r="D10" s="106" t="s">
        <v>296</v>
      </c>
      <c r="E10" s="107" t="s">
        <v>31</v>
      </c>
      <c r="F10" s="103">
        <v>8117</v>
      </c>
      <c r="G10" s="103">
        <f>10447.19932+1863.9289</f>
        <v>12311.128220000001</v>
      </c>
      <c r="H10" s="103">
        <f>10447.19932+1863.9289</f>
        <v>12311.128220000001</v>
      </c>
      <c r="I10" s="103">
        <f t="shared" ref="I10:J10" si="2">10447.19932+1863.9289</f>
        <v>12311.128220000001</v>
      </c>
      <c r="J10" s="103">
        <f t="shared" si="2"/>
        <v>12311.128220000001</v>
      </c>
      <c r="K10" s="104"/>
    </row>
    <row r="11" spans="1:11" s="3" customFormat="1" ht="53.25" customHeight="1" x14ac:dyDescent="0.25">
      <c r="A11" s="255" t="s">
        <v>15</v>
      </c>
      <c r="B11" s="256" t="s">
        <v>40</v>
      </c>
      <c r="C11" s="105" t="s">
        <v>41</v>
      </c>
      <c r="D11" s="106" t="s">
        <v>42</v>
      </c>
      <c r="E11" s="107" t="s">
        <v>43</v>
      </c>
      <c r="F11" s="103">
        <v>491</v>
      </c>
      <c r="G11" s="103">
        <v>400</v>
      </c>
      <c r="H11" s="103">
        <v>470</v>
      </c>
      <c r="I11" s="103">
        <v>470</v>
      </c>
      <c r="J11" s="103">
        <v>470</v>
      </c>
      <c r="K11" s="104"/>
    </row>
    <row r="12" spans="1:11" s="3" customFormat="1" ht="53.25" customHeight="1" x14ac:dyDescent="0.25">
      <c r="A12" s="255"/>
      <c r="B12" s="256"/>
      <c r="C12" s="105" t="s">
        <v>30</v>
      </c>
      <c r="D12" s="106" t="s">
        <v>296</v>
      </c>
      <c r="E12" s="107" t="s">
        <v>31</v>
      </c>
      <c r="F12" s="103">
        <v>13358</v>
      </c>
      <c r="G12" s="103">
        <f>9256.33984+1863.9289</f>
        <v>11120.268740000001</v>
      </c>
      <c r="H12" s="103">
        <v>11837.890000000001</v>
      </c>
      <c r="I12" s="103">
        <v>11837.890000000001</v>
      </c>
      <c r="J12" s="103">
        <v>11837.890000000001</v>
      </c>
      <c r="K12" s="104"/>
    </row>
    <row r="13" spans="1:11" s="3" customFormat="1" ht="53.25" customHeight="1" x14ac:dyDescent="0.25">
      <c r="A13" s="255" t="s">
        <v>16</v>
      </c>
      <c r="B13" s="256" t="s">
        <v>44</v>
      </c>
      <c r="C13" s="105" t="s">
        <v>45</v>
      </c>
      <c r="D13" s="106" t="s">
        <v>46</v>
      </c>
      <c r="E13" s="107" t="s">
        <v>43</v>
      </c>
      <c r="F13" s="103">
        <v>35</v>
      </c>
      <c r="G13" s="103">
        <v>35</v>
      </c>
      <c r="H13" s="103">
        <v>35</v>
      </c>
      <c r="I13" s="103">
        <v>35</v>
      </c>
      <c r="J13" s="103">
        <v>35</v>
      </c>
      <c r="K13" s="104"/>
    </row>
    <row r="14" spans="1:11" s="3" customFormat="1" ht="53.25" customHeight="1" x14ac:dyDescent="0.25">
      <c r="A14" s="255"/>
      <c r="B14" s="256"/>
      <c r="C14" s="105" t="s">
        <v>47</v>
      </c>
      <c r="D14" s="106" t="s">
        <v>296</v>
      </c>
      <c r="E14" s="107" t="s">
        <v>31</v>
      </c>
      <c r="F14" s="103">
        <v>21073.62</v>
      </c>
      <c r="G14" s="103">
        <f>20654.11393+34.1</f>
        <v>20688.213929999998</v>
      </c>
      <c r="H14" s="103">
        <v>21073.62</v>
      </c>
      <c r="I14" s="103">
        <v>22380.86</v>
      </c>
      <c r="J14" s="103">
        <f>21073.62+1994.638</f>
        <v>23068.257999999998</v>
      </c>
      <c r="K14" s="104"/>
    </row>
    <row r="15" spans="1:11" s="3" customFormat="1" ht="53.25" customHeight="1" x14ac:dyDescent="0.25">
      <c r="A15" s="255" t="s">
        <v>17</v>
      </c>
      <c r="B15" s="256" t="s">
        <v>48</v>
      </c>
      <c r="C15" s="109" t="s">
        <v>49</v>
      </c>
      <c r="D15" s="106" t="s">
        <v>50</v>
      </c>
      <c r="E15" s="157" t="s">
        <v>23</v>
      </c>
      <c r="F15" s="103">
        <v>13</v>
      </c>
      <c r="G15" s="103">
        <v>13</v>
      </c>
      <c r="H15" s="103">
        <v>13</v>
      </c>
      <c r="I15" s="103">
        <v>13</v>
      </c>
      <c r="J15" s="103">
        <v>13</v>
      </c>
      <c r="K15" s="104"/>
    </row>
    <row r="16" spans="1:11" s="3" customFormat="1" ht="53.25" customHeight="1" x14ac:dyDescent="0.25">
      <c r="A16" s="255"/>
      <c r="B16" s="256"/>
      <c r="C16" s="105" t="s">
        <v>47</v>
      </c>
      <c r="D16" s="106" t="s">
        <v>296</v>
      </c>
      <c r="E16" s="107" t="s">
        <v>31</v>
      </c>
      <c r="F16" s="103">
        <v>7522.1490000000003</v>
      </c>
      <c r="G16" s="103">
        <f>7261.88195+34.1</f>
        <v>7295.9819500000003</v>
      </c>
      <c r="H16" s="103">
        <v>7522.1490000000003</v>
      </c>
      <c r="I16" s="103">
        <v>8829.389000000001</v>
      </c>
      <c r="J16" s="103">
        <f>7522.149+1994.638</f>
        <v>9516.7870000000003</v>
      </c>
      <c r="K16" s="104"/>
    </row>
    <row r="17" spans="1:11" s="3" customFormat="1" ht="53.25" customHeight="1" x14ac:dyDescent="0.25">
      <c r="A17" s="255" t="s">
        <v>18</v>
      </c>
      <c r="B17" s="256" t="s">
        <v>51</v>
      </c>
      <c r="C17" s="108" t="s">
        <v>52</v>
      </c>
      <c r="D17" s="106" t="s">
        <v>53</v>
      </c>
      <c r="E17" s="107" t="s">
        <v>39</v>
      </c>
      <c r="F17" s="103">
        <v>3</v>
      </c>
      <c r="G17" s="103">
        <v>5</v>
      </c>
      <c r="H17" s="103">
        <v>7</v>
      </c>
      <c r="I17" s="103">
        <v>7</v>
      </c>
      <c r="J17" s="103">
        <v>7</v>
      </c>
      <c r="K17" s="104"/>
    </row>
    <row r="18" spans="1:11" s="5" customFormat="1" ht="53.25" customHeight="1" x14ac:dyDescent="0.25">
      <c r="A18" s="255"/>
      <c r="B18" s="256"/>
      <c r="C18" s="105" t="s">
        <v>30</v>
      </c>
      <c r="D18" s="106" t="s">
        <v>296</v>
      </c>
      <c r="E18" s="107" t="s">
        <v>31</v>
      </c>
      <c r="F18" s="103">
        <v>142996.04999999999</v>
      </c>
      <c r="G18" s="103">
        <f>138064.891+1863.9289</f>
        <v>139928.8199</v>
      </c>
      <c r="H18" s="103">
        <v>191857.92701000001</v>
      </c>
      <c r="I18" s="103">
        <v>191857.92701000001</v>
      </c>
      <c r="J18" s="103">
        <v>191857.92701000001</v>
      </c>
      <c r="K18" s="104"/>
    </row>
    <row r="19" spans="1:11" s="3" customFormat="1" ht="53.25" customHeight="1" x14ac:dyDescent="0.25">
      <c r="A19" s="255" t="s">
        <v>19</v>
      </c>
      <c r="B19" s="256" t="s">
        <v>54</v>
      </c>
      <c r="C19" s="109" t="s">
        <v>55</v>
      </c>
      <c r="D19" s="106" t="s">
        <v>46</v>
      </c>
      <c r="E19" s="107" t="s">
        <v>43</v>
      </c>
      <c r="F19" s="103">
        <v>57</v>
      </c>
      <c r="G19" s="103">
        <v>57</v>
      </c>
      <c r="H19" s="103">
        <v>57</v>
      </c>
      <c r="I19" s="103">
        <v>57</v>
      </c>
      <c r="J19" s="103">
        <v>57</v>
      </c>
      <c r="K19" s="104"/>
    </row>
    <row r="20" spans="1:11" s="5" customFormat="1" ht="53.25" customHeight="1" x14ac:dyDescent="0.25">
      <c r="A20" s="255"/>
      <c r="B20" s="256"/>
      <c r="C20" s="105" t="s">
        <v>47</v>
      </c>
      <c r="D20" s="106" t="s">
        <v>296</v>
      </c>
      <c r="E20" s="107" t="s">
        <v>31</v>
      </c>
      <c r="F20" s="103">
        <v>30224.84</v>
      </c>
      <c r="G20" s="103">
        <f>21434.7436+34.1</f>
        <v>21468.8436</v>
      </c>
      <c r="H20" s="103">
        <f>30224.84+0.42</f>
        <v>30225.26</v>
      </c>
      <c r="I20" s="103">
        <v>31532.5</v>
      </c>
      <c r="J20" s="103">
        <f>30224.84+0.42+1994.638</f>
        <v>32219.897999999997</v>
      </c>
      <c r="K20" s="104"/>
    </row>
    <row r="21" spans="1:11" s="3" customFormat="1" ht="53.25" customHeight="1" x14ac:dyDescent="0.25">
      <c r="A21" s="255" t="s">
        <v>21</v>
      </c>
      <c r="B21" s="256" t="s">
        <v>56</v>
      </c>
      <c r="C21" s="109" t="s">
        <v>57</v>
      </c>
      <c r="D21" s="106" t="s">
        <v>58</v>
      </c>
      <c r="E21" s="107" t="s">
        <v>43</v>
      </c>
      <c r="F21" s="103">
        <v>30</v>
      </c>
      <c r="G21" s="103">
        <v>30</v>
      </c>
      <c r="H21" s="103">
        <v>30</v>
      </c>
      <c r="I21" s="103">
        <v>30</v>
      </c>
      <c r="J21" s="103">
        <v>30</v>
      </c>
      <c r="K21" s="104"/>
    </row>
    <row r="22" spans="1:11" s="5" customFormat="1" ht="53.25" customHeight="1" x14ac:dyDescent="0.25">
      <c r="A22" s="255"/>
      <c r="B22" s="256"/>
      <c r="C22" s="105" t="s">
        <v>47</v>
      </c>
      <c r="D22" s="106" t="s">
        <v>296</v>
      </c>
      <c r="E22" s="107" t="s">
        <v>31</v>
      </c>
      <c r="F22" s="103">
        <v>12601.691999999999</v>
      </c>
      <c r="G22" s="103">
        <f>12647.40866+34.1</f>
        <v>12681.50866</v>
      </c>
      <c r="H22" s="103">
        <f>12647.40866+34.1</f>
        <v>12681.50866</v>
      </c>
      <c r="I22" s="103">
        <v>13988.718659999999</v>
      </c>
      <c r="J22" s="103">
        <f>12647.40866+34.1+1994.638</f>
        <v>14676.146659999999</v>
      </c>
      <c r="K22" s="104"/>
    </row>
    <row r="23" spans="1:11" s="3" customFormat="1" ht="53.25" customHeight="1" x14ac:dyDescent="0.25">
      <c r="A23" s="255" t="s">
        <v>22</v>
      </c>
      <c r="B23" s="256" t="s">
        <v>59</v>
      </c>
      <c r="C23" s="105" t="s">
        <v>60</v>
      </c>
      <c r="D23" s="106" t="s">
        <v>20</v>
      </c>
      <c r="E23" s="107" t="s">
        <v>61</v>
      </c>
      <c r="F23" s="103">
        <v>24482</v>
      </c>
      <c r="G23" s="103">
        <v>434784</v>
      </c>
      <c r="H23" s="103">
        <v>455535.87741749437</v>
      </c>
      <c r="I23" s="103">
        <v>501613</v>
      </c>
      <c r="J23" s="103">
        <v>523900</v>
      </c>
      <c r="K23" s="110"/>
    </row>
    <row r="24" spans="1:11" s="5" customFormat="1" ht="53.25" customHeight="1" x14ac:dyDescent="0.25">
      <c r="A24" s="255"/>
      <c r="B24" s="256"/>
      <c r="C24" s="105" t="s">
        <v>62</v>
      </c>
      <c r="D24" s="106" t="s">
        <v>296</v>
      </c>
      <c r="E24" s="107" t="s">
        <v>31</v>
      </c>
      <c r="F24" s="103">
        <v>9109.7099999999991</v>
      </c>
      <c r="G24" s="103">
        <v>12984.305</v>
      </c>
      <c r="H24" s="103">
        <f>16974.14504-3370.11</f>
        <v>13604.035039999999</v>
      </c>
      <c r="I24" s="103">
        <v>14980.07504</v>
      </c>
      <c r="J24" s="103">
        <v>15645.625039999999</v>
      </c>
      <c r="K24" s="111"/>
    </row>
    <row r="25" spans="1:11" s="3" customFormat="1" ht="128.25" customHeight="1" x14ac:dyDescent="0.25">
      <c r="A25" s="255" t="s">
        <v>63</v>
      </c>
      <c r="B25" s="256" t="s">
        <v>64</v>
      </c>
      <c r="C25" s="105" t="s">
        <v>65</v>
      </c>
      <c r="D25" s="106" t="s">
        <v>66</v>
      </c>
      <c r="E25" s="107" t="s">
        <v>67</v>
      </c>
      <c r="F25" s="103">
        <v>1680</v>
      </c>
      <c r="G25" s="103">
        <v>1761</v>
      </c>
      <c r="H25" s="103">
        <v>1847</v>
      </c>
      <c r="I25" s="103">
        <v>1952</v>
      </c>
      <c r="J25" s="103">
        <v>2027</v>
      </c>
      <c r="K25" s="104"/>
    </row>
    <row r="26" spans="1:11" s="5" customFormat="1" ht="53.25" customHeight="1" x14ac:dyDescent="0.25">
      <c r="A26" s="255"/>
      <c r="B26" s="256"/>
      <c r="C26" s="105" t="s">
        <v>68</v>
      </c>
      <c r="D26" s="106" t="s">
        <v>296</v>
      </c>
      <c r="E26" s="107" t="s">
        <v>31</v>
      </c>
      <c r="F26" s="103">
        <v>182495.24400000001</v>
      </c>
      <c r="G26" s="103">
        <f>204523.56157+10074.07</f>
        <v>214597.63157</v>
      </c>
      <c r="H26" s="103">
        <f>251701.535-17616.06</f>
        <v>234085.47500000001</v>
      </c>
      <c r="I26" s="103">
        <v>247370.685</v>
      </c>
      <c r="J26" s="103">
        <v>256895.98500000002</v>
      </c>
      <c r="K26" s="111"/>
    </row>
    <row r="27" spans="1:11" s="3" customFormat="1" ht="53.25" customHeight="1" x14ac:dyDescent="0.25">
      <c r="A27" s="255" t="s">
        <v>69</v>
      </c>
      <c r="B27" s="256" t="s">
        <v>70</v>
      </c>
      <c r="C27" s="105" t="s">
        <v>71</v>
      </c>
      <c r="D27" s="106" t="s">
        <v>72</v>
      </c>
      <c r="E27" s="107" t="s">
        <v>73</v>
      </c>
      <c r="F27" s="103">
        <v>5510</v>
      </c>
      <c r="G27" s="103">
        <v>5512</v>
      </c>
      <c r="H27" s="103">
        <v>12900</v>
      </c>
      <c r="I27" s="103">
        <v>12000</v>
      </c>
      <c r="J27" s="103">
        <v>12000</v>
      </c>
      <c r="K27" s="104"/>
    </row>
    <row r="28" spans="1:11" s="5" customFormat="1" ht="53.25" customHeight="1" x14ac:dyDescent="0.25">
      <c r="A28" s="255"/>
      <c r="B28" s="256"/>
      <c r="C28" s="105" t="s">
        <v>74</v>
      </c>
      <c r="D28" s="106" t="s">
        <v>296</v>
      </c>
      <c r="E28" s="107" t="s">
        <v>31</v>
      </c>
      <c r="F28" s="103">
        <v>1055</v>
      </c>
      <c r="G28" s="103">
        <f>1622.32818+1743.68</f>
        <v>3366.0081799999998</v>
      </c>
      <c r="H28" s="103">
        <v>7877.6316259071118</v>
      </c>
      <c r="I28" s="103">
        <v>7328.0294194484759</v>
      </c>
      <c r="J28" s="103">
        <v>7328.0294194484759</v>
      </c>
      <c r="K28" s="104"/>
    </row>
    <row r="29" spans="1:11" s="3" customFormat="1" ht="53.25" customHeight="1" x14ac:dyDescent="0.25">
      <c r="A29" s="255" t="s">
        <v>75</v>
      </c>
      <c r="B29" s="256" t="s">
        <v>70</v>
      </c>
      <c r="C29" s="105" t="s">
        <v>71</v>
      </c>
      <c r="D29" s="106" t="s">
        <v>76</v>
      </c>
      <c r="E29" s="107" t="s">
        <v>73</v>
      </c>
      <c r="F29" s="103">
        <v>1573</v>
      </c>
      <c r="G29" s="103">
        <v>0</v>
      </c>
      <c r="H29" s="103">
        <v>0</v>
      </c>
      <c r="I29" s="103">
        <v>0</v>
      </c>
      <c r="J29" s="103">
        <v>0</v>
      </c>
      <c r="K29" s="104"/>
    </row>
    <row r="30" spans="1:11" s="5" customFormat="1" ht="53.25" customHeight="1" x14ac:dyDescent="0.25">
      <c r="A30" s="255"/>
      <c r="B30" s="256"/>
      <c r="C30" s="105" t="s">
        <v>74</v>
      </c>
      <c r="D30" s="106" t="s">
        <v>296</v>
      </c>
      <c r="E30" s="107" t="s">
        <v>31</v>
      </c>
      <c r="F30" s="103">
        <v>603</v>
      </c>
      <c r="G30" s="103">
        <v>0</v>
      </c>
      <c r="H30" s="103">
        <v>0</v>
      </c>
      <c r="I30" s="103">
        <v>0</v>
      </c>
      <c r="J30" s="103">
        <v>0</v>
      </c>
      <c r="K30" s="104"/>
    </row>
    <row r="31" spans="1:11" s="3" customFormat="1" ht="53.25" customHeight="1" x14ac:dyDescent="0.25">
      <c r="A31" s="255" t="s">
        <v>77</v>
      </c>
      <c r="B31" s="256" t="s">
        <v>78</v>
      </c>
      <c r="C31" s="105" t="s">
        <v>79</v>
      </c>
      <c r="D31" s="106" t="s">
        <v>80</v>
      </c>
      <c r="E31" s="107" t="s">
        <v>73</v>
      </c>
      <c r="F31" s="103">
        <v>122</v>
      </c>
      <c r="G31" s="103">
        <v>0</v>
      </c>
      <c r="H31" s="103">
        <v>0</v>
      </c>
      <c r="I31" s="103">
        <v>0</v>
      </c>
      <c r="J31" s="103">
        <v>0</v>
      </c>
      <c r="K31" s="104"/>
    </row>
    <row r="32" spans="1:11" s="5" customFormat="1" ht="53.25" customHeight="1" x14ac:dyDescent="0.25">
      <c r="A32" s="255"/>
      <c r="B32" s="256"/>
      <c r="C32" s="105" t="s">
        <v>74</v>
      </c>
      <c r="D32" s="106" t="s">
        <v>296</v>
      </c>
      <c r="E32" s="107" t="s">
        <v>31</v>
      </c>
      <c r="F32" s="103">
        <v>4002.43</v>
      </c>
      <c r="G32" s="103">
        <v>0</v>
      </c>
      <c r="H32" s="103">
        <v>0</v>
      </c>
      <c r="I32" s="103">
        <v>0</v>
      </c>
      <c r="J32" s="103">
        <v>0</v>
      </c>
      <c r="K32" s="104"/>
    </row>
    <row r="33" spans="1:11" s="3" customFormat="1" ht="53.25" customHeight="1" x14ac:dyDescent="0.25">
      <c r="A33" s="255" t="s">
        <v>81</v>
      </c>
      <c r="B33" s="256" t="s">
        <v>82</v>
      </c>
      <c r="C33" s="105" t="s">
        <v>83</v>
      </c>
      <c r="D33" s="106" t="s">
        <v>80</v>
      </c>
      <c r="E33" s="107" t="s">
        <v>73</v>
      </c>
      <c r="F33" s="103">
        <v>0</v>
      </c>
      <c r="G33" s="103">
        <v>120</v>
      </c>
      <c r="H33" s="103">
        <v>120</v>
      </c>
      <c r="I33" s="103">
        <v>120</v>
      </c>
      <c r="J33" s="103">
        <v>120</v>
      </c>
      <c r="K33" s="104"/>
    </row>
    <row r="34" spans="1:11" s="5" customFormat="1" ht="53.25" customHeight="1" x14ac:dyDescent="0.25">
      <c r="A34" s="255"/>
      <c r="B34" s="256"/>
      <c r="C34" s="105" t="s">
        <v>84</v>
      </c>
      <c r="D34" s="106" t="s">
        <v>296</v>
      </c>
      <c r="E34" s="107" t="s">
        <v>31</v>
      </c>
      <c r="F34" s="103">
        <v>0</v>
      </c>
      <c r="G34" s="103">
        <f>3055.13224+825.189+412.6</f>
        <v>4292.9212399999997</v>
      </c>
      <c r="H34" s="103">
        <f>3055.13224+825.189+412.6</f>
        <v>4292.9212399999997</v>
      </c>
      <c r="I34" s="103">
        <f t="shared" ref="I34:J34" si="3">3055.13224+825.189+412.6</f>
        <v>4292.9212399999997</v>
      </c>
      <c r="J34" s="103">
        <f t="shared" si="3"/>
        <v>4292.9212399999997</v>
      </c>
      <c r="K34" s="104"/>
    </row>
    <row r="35" spans="1:11" s="3" customFormat="1" ht="53.25" customHeight="1" x14ac:dyDescent="0.25">
      <c r="A35" s="255" t="s">
        <v>85</v>
      </c>
      <c r="B35" s="256" t="s">
        <v>86</v>
      </c>
      <c r="C35" s="105" t="s">
        <v>87</v>
      </c>
      <c r="D35" s="106" t="s">
        <v>72</v>
      </c>
      <c r="E35" s="107" t="s">
        <v>73</v>
      </c>
      <c r="F35" s="103">
        <v>35718</v>
      </c>
      <c r="G35" s="103">
        <v>32893</v>
      </c>
      <c r="H35" s="103">
        <v>33555</v>
      </c>
      <c r="I35" s="103">
        <v>32893</v>
      </c>
      <c r="J35" s="103">
        <v>31688</v>
      </c>
      <c r="K35" s="104"/>
    </row>
    <row r="36" spans="1:11" s="5" customFormat="1" ht="53.25" customHeight="1" x14ac:dyDescent="0.25">
      <c r="A36" s="255"/>
      <c r="B36" s="256"/>
      <c r="C36" s="105" t="s">
        <v>74</v>
      </c>
      <c r="D36" s="106" t="s">
        <v>296</v>
      </c>
      <c r="E36" s="107" t="s">
        <v>31</v>
      </c>
      <c r="F36" s="103">
        <v>14361</v>
      </c>
      <c r="G36" s="103">
        <f>13562.22868+3487.3536</f>
        <v>17049.582279999999</v>
      </c>
      <c r="H36" s="103">
        <v>21226.893</v>
      </c>
      <c r="I36" s="103">
        <f>13562.22868+3487.3536</f>
        <v>17049.582279999999</v>
      </c>
      <c r="J36" s="103">
        <v>20045.87228</v>
      </c>
      <c r="K36" s="111"/>
    </row>
    <row r="37" spans="1:11" s="3" customFormat="1" ht="53.25" customHeight="1" x14ac:dyDescent="0.25">
      <c r="A37" s="255" t="s">
        <v>88</v>
      </c>
      <c r="B37" s="256" t="s">
        <v>86</v>
      </c>
      <c r="C37" s="105" t="s">
        <v>87</v>
      </c>
      <c r="D37" s="106" t="s">
        <v>76</v>
      </c>
      <c r="E37" s="107" t="s">
        <v>73</v>
      </c>
      <c r="F37" s="103">
        <v>12148</v>
      </c>
      <c r="G37" s="103">
        <v>11175</v>
      </c>
      <c r="H37" s="103">
        <v>10449</v>
      </c>
      <c r="I37" s="103">
        <v>10449</v>
      </c>
      <c r="J37" s="103">
        <v>10449</v>
      </c>
      <c r="K37" s="104"/>
    </row>
    <row r="38" spans="1:11" s="5" customFormat="1" ht="53.25" customHeight="1" x14ac:dyDescent="0.25">
      <c r="A38" s="255"/>
      <c r="B38" s="256"/>
      <c r="C38" s="105" t="s">
        <v>74</v>
      </c>
      <c r="D38" s="106" t="s">
        <v>296</v>
      </c>
      <c r="E38" s="107" t="s">
        <v>31</v>
      </c>
      <c r="F38" s="103">
        <v>8483</v>
      </c>
      <c r="G38" s="103">
        <f>10252.92828+3487.3536</f>
        <v>13740.28188</v>
      </c>
      <c r="H38" s="103">
        <v>13853.2842</v>
      </c>
      <c r="I38" s="103">
        <v>13853.2842</v>
      </c>
      <c r="J38" s="103">
        <v>13853.2842</v>
      </c>
      <c r="K38" s="104"/>
    </row>
    <row r="39" spans="1:11" s="3" customFormat="1" ht="53.25" customHeight="1" x14ac:dyDescent="0.25">
      <c r="A39" s="255" t="s">
        <v>89</v>
      </c>
      <c r="B39" s="256" t="s">
        <v>90</v>
      </c>
      <c r="C39" s="105" t="s">
        <v>91</v>
      </c>
      <c r="D39" s="106" t="s">
        <v>72</v>
      </c>
      <c r="E39" s="107" t="s">
        <v>73</v>
      </c>
      <c r="F39" s="103">
        <v>4797</v>
      </c>
      <c r="G39" s="103">
        <v>0</v>
      </c>
      <c r="H39" s="103">
        <v>0</v>
      </c>
      <c r="I39" s="103">
        <v>0</v>
      </c>
      <c r="J39" s="103">
        <v>0</v>
      </c>
      <c r="K39" s="104"/>
    </row>
    <row r="40" spans="1:11" s="5" customFormat="1" ht="53.25" customHeight="1" x14ac:dyDescent="0.25">
      <c r="A40" s="255"/>
      <c r="B40" s="256"/>
      <c r="C40" s="105" t="s">
        <v>74</v>
      </c>
      <c r="D40" s="106" t="s">
        <v>296</v>
      </c>
      <c r="E40" s="107" t="s">
        <v>31</v>
      </c>
      <c r="F40" s="103">
        <v>3319</v>
      </c>
      <c r="G40" s="103">
        <v>0</v>
      </c>
      <c r="H40" s="103">
        <v>0</v>
      </c>
      <c r="I40" s="103">
        <v>0</v>
      </c>
      <c r="J40" s="103">
        <v>0</v>
      </c>
      <c r="K40" s="104"/>
    </row>
    <row r="41" spans="1:11" s="3" customFormat="1" ht="53.25" customHeight="1" x14ac:dyDescent="0.25">
      <c r="A41" s="255" t="s">
        <v>92</v>
      </c>
      <c r="B41" s="256" t="s">
        <v>90</v>
      </c>
      <c r="C41" s="105" t="s">
        <v>91</v>
      </c>
      <c r="D41" s="106" t="s">
        <v>76</v>
      </c>
      <c r="E41" s="107" t="s">
        <v>73</v>
      </c>
      <c r="F41" s="103">
        <v>1370</v>
      </c>
      <c r="G41" s="103">
        <v>0</v>
      </c>
      <c r="H41" s="103">
        <v>0</v>
      </c>
      <c r="I41" s="103">
        <v>0</v>
      </c>
      <c r="J41" s="103">
        <v>0</v>
      </c>
      <c r="K41" s="104"/>
    </row>
    <row r="42" spans="1:11" s="5" customFormat="1" ht="53.25" customHeight="1" x14ac:dyDescent="0.25">
      <c r="A42" s="255"/>
      <c r="B42" s="256"/>
      <c r="C42" s="105" t="s">
        <v>74</v>
      </c>
      <c r="D42" s="106" t="s">
        <v>296</v>
      </c>
      <c r="E42" s="107" t="s">
        <v>31</v>
      </c>
      <c r="F42" s="103">
        <v>1895</v>
      </c>
      <c r="G42" s="103">
        <v>0</v>
      </c>
      <c r="H42" s="103">
        <v>0</v>
      </c>
      <c r="I42" s="103">
        <v>0</v>
      </c>
      <c r="J42" s="103">
        <v>0</v>
      </c>
      <c r="K42" s="104"/>
    </row>
    <row r="43" spans="1:11" s="3" customFormat="1" ht="53.25" customHeight="1" x14ac:dyDescent="0.25">
      <c r="A43" s="255" t="s">
        <v>93</v>
      </c>
      <c r="B43" s="256" t="s">
        <v>94</v>
      </c>
      <c r="C43" s="105" t="s">
        <v>95</v>
      </c>
      <c r="D43" s="106" t="s">
        <v>72</v>
      </c>
      <c r="E43" s="107" t="s">
        <v>73</v>
      </c>
      <c r="F43" s="103">
        <v>125210</v>
      </c>
      <c r="G43" s="103">
        <v>113669</v>
      </c>
      <c r="H43" s="103">
        <v>114765</v>
      </c>
      <c r="I43" s="103">
        <v>114765</v>
      </c>
      <c r="J43" s="103">
        <v>114765</v>
      </c>
      <c r="K43" s="104"/>
    </row>
    <row r="44" spans="1:11" s="5" customFormat="1" ht="53.25" customHeight="1" x14ac:dyDescent="0.25">
      <c r="A44" s="255"/>
      <c r="B44" s="256"/>
      <c r="C44" s="105" t="s">
        <v>74</v>
      </c>
      <c r="D44" s="106" t="s">
        <v>296</v>
      </c>
      <c r="E44" s="107" t="s">
        <v>31</v>
      </c>
      <c r="F44" s="103">
        <v>88069</v>
      </c>
      <c r="G44" s="103">
        <f>89194.47986+3487.3536+1743.68</f>
        <v>94425.513460000002</v>
      </c>
      <c r="H44" s="103">
        <v>110398.43633</v>
      </c>
      <c r="I44" s="103">
        <v>110398.43633</v>
      </c>
      <c r="J44" s="103">
        <v>110398.43633</v>
      </c>
      <c r="K44" s="104"/>
    </row>
    <row r="45" spans="1:11" s="3" customFormat="1" ht="53.25" customHeight="1" x14ac:dyDescent="0.25">
      <c r="A45" s="255" t="s">
        <v>96</v>
      </c>
      <c r="B45" s="256" t="s">
        <v>94</v>
      </c>
      <c r="C45" s="105" t="s">
        <v>95</v>
      </c>
      <c r="D45" s="106" t="s">
        <v>76</v>
      </c>
      <c r="E45" s="107" t="s">
        <v>73</v>
      </c>
      <c r="F45" s="103">
        <v>0</v>
      </c>
      <c r="G45" s="103">
        <v>0</v>
      </c>
      <c r="H45" s="103">
        <v>0</v>
      </c>
      <c r="I45" s="103">
        <v>0</v>
      </c>
      <c r="J45" s="103">
        <v>0</v>
      </c>
      <c r="K45" s="104"/>
    </row>
    <row r="46" spans="1:11" s="5" customFormat="1" ht="53.25" customHeight="1" x14ac:dyDescent="0.25">
      <c r="A46" s="255"/>
      <c r="B46" s="256"/>
      <c r="C46" s="105" t="s">
        <v>74</v>
      </c>
      <c r="D46" s="106" t="s">
        <v>296</v>
      </c>
      <c r="E46" s="107" t="s">
        <v>31</v>
      </c>
      <c r="F46" s="103">
        <v>0</v>
      </c>
      <c r="G46" s="103">
        <v>0</v>
      </c>
      <c r="H46" s="103">
        <v>0</v>
      </c>
      <c r="I46" s="103">
        <v>0</v>
      </c>
      <c r="J46" s="103">
        <v>0</v>
      </c>
      <c r="K46" s="104"/>
    </row>
    <row r="47" spans="1:11" s="3" customFormat="1" ht="53.25" customHeight="1" x14ac:dyDescent="0.25">
      <c r="A47" s="255" t="s">
        <v>97</v>
      </c>
      <c r="B47" s="256" t="s">
        <v>98</v>
      </c>
      <c r="C47" s="105" t="s">
        <v>99</v>
      </c>
      <c r="D47" s="106" t="s">
        <v>72</v>
      </c>
      <c r="E47" s="107" t="s">
        <v>73</v>
      </c>
      <c r="F47" s="103">
        <v>260750</v>
      </c>
      <c r="G47" s="103">
        <v>241195</v>
      </c>
      <c r="H47" s="103">
        <v>240392</v>
      </c>
      <c r="I47" s="103">
        <v>240392</v>
      </c>
      <c r="J47" s="103">
        <v>240392</v>
      </c>
      <c r="K47" s="104"/>
    </row>
    <row r="48" spans="1:11" s="5" customFormat="1" ht="53.25" customHeight="1" x14ac:dyDescent="0.25">
      <c r="A48" s="255"/>
      <c r="B48" s="256"/>
      <c r="C48" s="105" t="s">
        <v>74</v>
      </c>
      <c r="D48" s="106" t="s">
        <v>296</v>
      </c>
      <c r="E48" s="107" t="s">
        <v>31</v>
      </c>
      <c r="F48" s="103">
        <v>79180</v>
      </c>
      <c r="G48" s="103">
        <f>87239.72117+3487.3536</f>
        <v>90727.074770000007</v>
      </c>
      <c r="H48" s="103">
        <f>187505.76+237.55</f>
        <v>187743.31</v>
      </c>
      <c r="I48" s="103">
        <f t="shared" ref="I48:J48" si="4">187505.76+237.55</f>
        <v>187743.31</v>
      </c>
      <c r="J48" s="103">
        <f t="shared" si="4"/>
        <v>187743.31</v>
      </c>
      <c r="K48" s="104"/>
    </row>
    <row r="49" spans="1:11" s="3" customFormat="1" ht="53.25" customHeight="1" x14ac:dyDescent="0.25">
      <c r="A49" s="255" t="s">
        <v>100</v>
      </c>
      <c r="B49" s="256" t="s">
        <v>98</v>
      </c>
      <c r="C49" s="105" t="s">
        <v>99</v>
      </c>
      <c r="D49" s="106" t="s">
        <v>76</v>
      </c>
      <c r="E49" s="107" t="s">
        <v>73</v>
      </c>
      <c r="F49" s="103">
        <v>54154</v>
      </c>
      <c r="G49" s="103">
        <v>43115</v>
      </c>
      <c r="H49" s="103">
        <v>45442</v>
      </c>
      <c r="I49" s="103">
        <v>43000</v>
      </c>
      <c r="J49" s="103">
        <v>45442</v>
      </c>
      <c r="K49" s="104"/>
    </row>
    <row r="50" spans="1:11" s="5" customFormat="1" ht="53.25" customHeight="1" x14ac:dyDescent="0.25">
      <c r="A50" s="255"/>
      <c r="B50" s="256"/>
      <c r="C50" s="105" t="s">
        <v>74</v>
      </c>
      <c r="D50" s="106" t="s">
        <v>296</v>
      </c>
      <c r="E50" s="107" t="s">
        <v>31</v>
      </c>
      <c r="F50" s="103">
        <v>37866</v>
      </c>
      <c r="G50" s="103">
        <f>27274.85833+3487.3536</f>
        <v>30762.211929999998</v>
      </c>
      <c r="H50" s="103">
        <v>60247.003600000004</v>
      </c>
      <c r="I50" s="103">
        <v>57009.4</v>
      </c>
      <c r="J50" s="103">
        <v>60247.003600000004</v>
      </c>
      <c r="K50" s="104"/>
    </row>
    <row r="51" spans="1:11" s="3" customFormat="1" ht="53.25" customHeight="1" x14ac:dyDescent="0.25">
      <c r="A51" s="255" t="s">
        <v>101</v>
      </c>
      <c r="B51" s="256" t="s">
        <v>102</v>
      </c>
      <c r="C51" s="105" t="s">
        <v>103</v>
      </c>
      <c r="D51" s="106" t="s">
        <v>72</v>
      </c>
      <c r="E51" s="107" t="s">
        <v>73</v>
      </c>
      <c r="F51" s="103">
        <v>118240</v>
      </c>
      <c r="G51" s="103">
        <v>102456</v>
      </c>
      <c r="H51" s="103">
        <v>103493</v>
      </c>
      <c r="I51" s="103">
        <v>103493</v>
      </c>
      <c r="J51" s="103">
        <v>103493</v>
      </c>
      <c r="K51" s="104"/>
    </row>
    <row r="52" spans="1:11" s="5" customFormat="1" ht="53.25" customHeight="1" x14ac:dyDescent="0.25">
      <c r="A52" s="255"/>
      <c r="B52" s="256"/>
      <c r="C52" s="105" t="s">
        <v>74</v>
      </c>
      <c r="D52" s="106" t="s">
        <v>296</v>
      </c>
      <c r="E52" s="107" t="s">
        <v>31</v>
      </c>
      <c r="F52" s="103">
        <v>63414</v>
      </c>
      <c r="G52" s="103">
        <f>46461.37685+3487.3536</f>
        <v>49948.730450000003</v>
      </c>
      <c r="H52" s="103">
        <v>56558.39327</v>
      </c>
      <c r="I52" s="103">
        <v>56558.39327</v>
      </c>
      <c r="J52" s="103">
        <v>56558.39327</v>
      </c>
      <c r="K52" s="104"/>
    </row>
    <row r="53" spans="1:11" s="3" customFormat="1" ht="53.25" customHeight="1" x14ac:dyDescent="0.25">
      <c r="A53" s="255" t="s">
        <v>104</v>
      </c>
      <c r="B53" s="256" t="s">
        <v>102</v>
      </c>
      <c r="C53" s="105" t="s">
        <v>103</v>
      </c>
      <c r="D53" s="106" t="s">
        <v>76</v>
      </c>
      <c r="E53" s="107" t="s">
        <v>73</v>
      </c>
      <c r="F53" s="103">
        <v>28967</v>
      </c>
      <c r="G53" s="103">
        <v>25389</v>
      </c>
      <c r="H53" s="103">
        <v>26938</v>
      </c>
      <c r="I53" s="103">
        <v>26938</v>
      </c>
      <c r="J53" s="103">
        <v>26938</v>
      </c>
      <c r="K53" s="104"/>
    </row>
    <row r="54" spans="1:11" s="5" customFormat="1" ht="53.25" customHeight="1" x14ac:dyDescent="0.25">
      <c r="A54" s="255"/>
      <c r="B54" s="256"/>
      <c r="C54" s="105" t="s">
        <v>74</v>
      </c>
      <c r="D54" s="106" t="s">
        <v>296</v>
      </c>
      <c r="E54" s="107" t="s">
        <v>31</v>
      </c>
      <c r="F54" s="103">
        <v>31067</v>
      </c>
      <c r="G54" s="103">
        <f>28544.6073+3487.3536</f>
        <v>32031.960899999998</v>
      </c>
      <c r="H54" s="103">
        <v>41437.742709999999</v>
      </c>
      <c r="I54" s="103">
        <v>33986.25242129268</v>
      </c>
      <c r="J54" s="103">
        <v>41437.742709999999</v>
      </c>
      <c r="K54" s="104"/>
    </row>
    <row r="55" spans="1:11" s="3" customFormat="1" ht="53.25" customHeight="1" x14ac:dyDescent="0.25">
      <c r="A55" s="255" t="s">
        <v>105</v>
      </c>
      <c r="B55" s="256" t="s">
        <v>106</v>
      </c>
      <c r="C55" s="105" t="s">
        <v>107</v>
      </c>
      <c r="D55" s="106" t="s">
        <v>72</v>
      </c>
      <c r="E55" s="107" t="s">
        <v>73</v>
      </c>
      <c r="F55" s="103">
        <v>184891</v>
      </c>
      <c r="G55" s="103">
        <v>167359</v>
      </c>
      <c r="H55" s="103">
        <v>179190</v>
      </c>
      <c r="I55" s="103">
        <v>179190</v>
      </c>
      <c r="J55" s="103">
        <v>179190</v>
      </c>
      <c r="K55" s="104"/>
    </row>
    <row r="56" spans="1:11" s="5" customFormat="1" ht="53.25" customHeight="1" x14ac:dyDescent="0.25">
      <c r="A56" s="255"/>
      <c r="B56" s="256"/>
      <c r="C56" s="105" t="s">
        <v>74</v>
      </c>
      <c r="D56" s="106" t="s">
        <v>296</v>
      </c>
      <c r="E56" s="107" t="s">
        <v>31</v>
      </c>
      <c r="F56" s="103">
        <v>129842</v>
      </c>
      <c r="G56" s="103">
        <f>99807.41206+3487.3536</f>
        <v>103294.76566</v>
      </c>
      <c r="H56" s="103">
        <v>144405.83016000001</v>
      </c>
      <c r="I56" s="103">
        <v>144405.83016000001</v>
      </c>
      <c r="J56" s="103">
        <v>144405.83016000001</v>
      </c>
      <c r="K56" s="104"/>
    </row>
    <row r="57" spans="1:11" s="3" customFormat="1" ht="53.25" customHeight="1" x14ac:dyDescent="0.25">
      <c r="A57" s="255" t="s">
        <v>108</v>
      </c>
      <c r="B57" s="256" t="s">
        <v>106</v>
      </c>
      <c r="C57" s="105" t="s">
        <v>107</v>
      </c>
      <c r="D57" s="106" t="s">
        <v>76</v>
      </c>
      <c r="E57" s="107" t="s">
        <v>73</v>
      </c>
      <c r="F57" s="103">
        <v>66603</v>
      </c>
      <c r="G57" s="103">
        <v>53771</v>
      </c>
      <c r="H57" s="103">
        <v>60723</v>
      </c>
      <c r="I57" s="103">
        <v>48425</v>
      </c>
      <c r="J57" s="103">
        <v>60723</v>
      </c>
      <c r="K57" s="104"/>
    </row>
    <row r="58" spans="1:11" s="5" customFormat="1" ht="53.25" customHeight="1" x14ac:dyDescent="0.25">
      <c r="A58" s="255"/>
      <c r="B58" s="256"/>
      <c r="C58" s="105" t="s">
        <v>74</v>
      </c>
      <c r="D58" s="106" t="s">
        <v>296</v>
      </c>
      <c r="E58" s="107" t="s">
        <v>31</v>
      </c>
      <c r="F58" s="103">
        <v>98502</v>
      </c>
      <c r="G58" s="103">
        <f>83744.599061+3487.3536</f>
        <v>87231.952661000003</v>
      </c>
      <c r="H58" s="103">
        <v>125287.24612</v>
      </c>
      <c r="I58" s="103">
        <v>99914.332661000008</v>
      </c>
      <c r="J58" s="103">
        <v>125287.24612</v>
      </c>
      <c r="K58" s="111"/>
    </row>
    <row r="59" spans="1:11" s="3" customFormat="1" ht="53.25" customHeight="1" x14ac:dyDescent="0.25">
      <c r="A59" s="255" t="s">
        <v>109</v>
      </c>
      <c r="B59" s="256" t="s">
        <v>110</v>
      </c>
      <c r="C59" s="105" t="s">
        <v>111</v>
      </c>
      <c r="D59" s="106" t="s">
        <v>80</v>
      </c>
      <c r="E59" s="107" t="s">
        <v>73</v>
      </c>
      <c r="F59" s="103">
        <v>41</v>
      </c>
      <c r="G59" s="103">
        <v>41</v>
      </c>
      <c r="H59" s="103">
        <v>41</v>
      </c>
      <c r="I59" s="103">
        <v>41</v>
      </c>
      <c r="J59" s="103">
        <v>41</v>
      </c>
      <c r="K59" s="104"/>
    </row>
    <row r="60" spans="1:11" s="5" customFormat="1" ht="53.25" customHeight="1" x14ac:dyDescent="0.25">
      <c r="A60" s="255"/>
      <c r="B60" s="256"/>
      <c r="C60" s="105" t="s">
        <v>84</v>
      </c>
      <c r="D60" s="106" t="s">
        <v>296</v>
      </c>
      <c r="E60" s="107" t="s">
        <v>31</v>
      </c>
      <c r="F60" s="103">
        <v>1535.79</v>
      </c>
      <c r="G60" s="103">
        <f>1535.79+825.189</f>
        <v>2360.9789999999998</v>
      </c>
      <c r="H60" s="103">
        <v>1609</v>
      </c>
      <c r="I60" s="103">
        <v>1609</v>
      </c>
      <c r="J60" s="103">
        <v>1609</v>
      </c>
      <c r="K60" s="104"/>
    </row>
    <row r="61" spans="1:11" s="3" customFormat="1" ht="53.25" customHeight="1" x14ac:dyDescent="0.25">
      <c r="A61" s="255" t="s">
        <v>112</v>
      </c>
      <c r="B61" s="256" t="s">
        <v>113</v>
      </c>
      <c r="C61" s="105" t="s">
        <v>114</v>
      </c>
      <c r="D61" s="106" t="s">
        <v>80</v>
      </c>
      <c r="E61" s="107" t="s">
        <v>73</v>
      </c>
      <c r="F61" s="103">
        <v>81</v>
      </c>
      <c r="G61" s="103">
        <v>112</v>
      </c>
      <c r="H61" s="103">
        <v>337</v>
      </c>
      <c r="I61" s="103">
        <v>298</v>
      </c>
      <c r="J61" s="103">
        <v>334</v>
      </c>
      <c r="K61" s="104"/>
    </row>
    <row r="62" spans="1:11" s="5" customFormat="1" ht="53.25" customHeight="1" x14ac:dyDescent="0.25">
      <c r="A62" s="255"/>
      <c r="B62" s="256"/>
      <c r="C62" s="105" t="s">
        <v>74</v>
      </c>
      <c r="D62" s="106" t="s">
        <v>296</v>
      </c>
      <c r="E62" s="107" t="s">
        <v>31</v>
      </c>
      <c r="F62" s="103">
        <f>6865</f>
        <v>6865</v>
      </c>
      <c r="G62" s="103">
        <f>8465.646+825.189+412.6</f>
        <v>9703.4350000000013</v>
      </c>
      <c r="H62" s="103">
        <v>24643.5</v>
      </c>
      <c r="I62" s="103">
        <v>21801.21</v>
      </c>
      <c r="J62" s="103">
        <v>24462.9</v>
      </c>
      <c r="K62" s="111"/>
    </row>
    <row r="63" spans="1:11" s="3" customFormat="1" ht="53.25" customHeight="1" x14ac:dyDescent="0.25">
      <c r="A63" s="255" t="s">
        <v>115</v>
      </c>
      <c r="B63" s="256" t="s">
        <v>116</v>
      </c>
      <c r="C63" s="105" t="s">
        <v>117</v>
      </c>
      <c r="D63" s="106" t="s">
        <v>72</v>
      </c>
      <c r="E63" s="107" t="s">
        <v>73</v>
      </c>
      <c r="F63" s="103">
        <v>11464</v>
      </c>
      <c r="G63" s="103">
        <v>11210</v>
      </c>
      <c r="H63" s="103">
        <v>7460</v>
      </c>
      <c r="I63" s="103">
        <v>7460</v>
      </c>
      <c r="J63" s="103">
        <v>7460</v>
      </c>
      <c r="K63" s="104"/>
    </row>
    <row r="64" spans="1:11" s="5" customFormat="1" ht="53.25" customHeight="1" x14ac:dyDescent="0.25">
      <c r="A64" s="255"/>
      <c r="B64" s="256"/>
      <c r="C64" s="105" t="s">
        <v>74</v>
      </c>
      <c r="D64" s="106" t="s">
        <v>296</v>
      </c>
      <c r="E64" s="107" t="s">
        <v>31</v>
      </c>
      <c r="F64" s="103">
        <v>10142</v>
      </c>
      <c r="G64" s="103">
        <f>10757.24921+3487.3536</f>
        <v>14244.60281</v>
      </c>
      <c r="H64" s="103">
        <v>9479.4591402854603</v>
      </c>
      <c r="I64" s="103">
        <v>9479.4591402854603</v>
      </c>
      <c r="J64" s="103">
        <v>9479.4591402854603</v>
      </c>
      <c r="K64" s="104"/>
    </row>
    <row r="65" spans="1:11" s="3" customFormat="1" ht="53.25" customHeight="1" x14ac:dyDescent="0.25">
      <c r="A65" s="255" t="s">
        <v>118</v>
      </c>
      <c r="B65" s="256" t="s">
        <v>116</v>
      </c>
      <c r="C65" s="105" t="s">
        <v>117</v>
      </c>
      <c r="D65" s="106" t="s">
        <v>119</v>
      </c>
      <c r="E65" s="107" t="s">
        <v>43</v>
      </c>
      <c r="F65" s="103">
        <v>163177</v>
      </c>
      <c r="G65" s="103">
        <v>157640</v>
      </c>
      <c r="H65" s="103">
        <v>161650</v>
      </c>
      <c r="I65" s="103">
        <v>161650</v>
      </c>
      <c r="J65" s="103">
        <v>161650</v>
      </c>
      <c r="K65" s="104"/>
    </row>
    <row r="66" spans="1:11" s="5" customFormat="1" ht="53.25" customHeight="1" x14ac:dyDescent="0.25">
      <c r="A66" s="255"/>
      <c r="B66" s="256"/>
      <c r="C66" s="105" t="s">
        <v>74</v>
      </c>
      <c r="D66" s="106" t="s">
        <v>296</v>
      </c>
      <c r="E66" s="107" t="s">
        <v>31</v>
      </c>
      <c r="F66" s="103">
        <v>64491</v>
      </c>
      <c r="G66" s="103">
        <f>63403.60042+3487.3536</f>
        <v>66890.954020000005</v>
      </c>
      <c r="H66" s="103">
        <v>80825</v>
      </c>
      <c r="I66" s="103">
        <v>80825</v>
      </c>
      <c r="J66" s="103">
        <v>80825</v>
      </c>
      <c r="K66" s="104"/>
    </row>
    <row r="67" spans="1:11" s="3" customFormat="1" ht="53.25" customHeight="1" x14ac:dyDescent="0.25">
      <c r="A67" s="255" t="s">
        <v>120</v>
      </c>
      <c r="B67" s="256" t="s">
        <v>121</v>
      </c>
      <c r="C67" s="105" t="s">
        <v>122</v>
      </c>
      <c r="D67" s="106" t="s">
        <v>123</v>
      </c>
      <c r="E67" s="107" t="s">
        <v>73</v>
      </c>
      <c r="F67" s="103">
        <v>12111</v>
      </c>
      <c r="G67" s="103">
        <v>11758</v>
      </c>
      <c r="H67" s="103">
        <v>11788</v>
      </c>
      <c r="I67" s="103">
        <v>11788</v>
      </c>
      <c r="J67" s="103">
        <v>11788</v>
      </c>
      <c r="K67" s="104"/>
    </row>
    <row r="68" spans="1:11" s="5" customFormat="1" ht="53.25" customHeight="1" x14ac:dyDescent="0.25">
      <c r="A68" s="255"/>
      <c r="B68" s="256"/>
      <c r="C68" s="105" t="s">
        <v>84</v>
      </c>
      <c r="D68" s="106" t="s">
        <v>296</v>
      </c>
      <c r="E68" s="107" t="s">
        <v>31</v>
      </c>
      <c r="F68" s="103">
        <v>1096662.3400000001</v>
      </c>
      <c r="G68" s="103">
        <f>1048883.67872+5733.425</f>
        <v>1054617.10372</v>
      </c>
      <c r="H68" s="103">
        <f>1293504.57453-14918.42</f>
        <v>1278586.1545300002</v>
      </c>
      <c r="I68" s="103">
        <v>1251664.1937200001</v>
      </c>
      <c r="J68" s="103">
        <f t="shared" ref="J68" si="5">1293504.57453-14918.42</f>
        <v>1278586.1545300002</v>
      </c>
      <c r="K68" s="104"/>
    </row>
    <row r="69" spans="1:11" s="3" customFormat="1" ht="53.25" customHeight="1" x14ac:dyDescent="0.25">
      <c r="A69" s="255" t="s">
        <v>124</v>
      </c>
      <c r="B69" s="256" t="s">
        <v>125</v>
      </c>
      <c r="C69" s="105" t="s">
        <v>126</v>
      </c>
      <c r="D69" s="106" t="s">
        <v>80</v>
      </c>
      <c r="E69" s="107" t="s">
        <v>73</v>
      </c>
      <c r="F69" s="103">
        <v>1495</v>
      </c>
      <c r="G69" s="103">
        <v>1257</v>
      </c>
      <c r="H69" s="103">
        <v>665</v>
      </c>
      <c r="I69" s="103">
        <v>665</v>
      </c>
      <c r="J69" s="103">
        <v>665</v>
      </c>
      <c r="K69" s="104"/>
    </row>
    <row r="70" spans="1:11" s="5" customFormat="1" ht="53.25" customHeight="1" x14ac:dyDescent="0.25">
      <c r="A70" s="255"/>
      <c r="B70" s="256"/>
      <c r="C70" s="105" t="s">
        <v>84</v>
      </c>
      <c r="D70" s="106" t="s">
        <v>296</v>
      </c>
      <c r="E70" s="107" t="s">
        <v>31</v>
      </c>
      <c r="F70" s="103">
        <v>21969</v>
      </c>
      <c r="G70" s="103">
        <f>17360.19533+825.189</f>
        <v>18185.384329999997</v>
      </c>
      <c r="H70" s="103">
        <f>9772.16387959866+790.64</f>
        <v>10562.803879598659</v>
      </c>
      <c r="I70" s="103">
        <f t="shared" ref="I70:J70" si="6">9772.16387959866+790.64</f>
        <v>10562.803879598659</v>
      </c>
      <c r="J70" s="103">
        <f t="shared" si="6"/>
        <v>10562.803879598659</v>
      </c>
      <c r="K70" s="104"/>
    </row>
    <row r="71" spans="1:11" s="3" customFormat="1" ht="53.25" customHeight="1" x14ac:dyDescent="0.25">
      <c r="A71" s="255" t="s">
        <v>127</v>
      </c>
      <c r="B71" s="256" t="s">
        <v>128</v>
      </c>
      <c r="C71" s="105" t="s">
        <v>129</v>
      </c>
      <c r="D71" s="106" t="s">
        <v>123</v>
      </c>
      <c r="E71" s="107" t="s">
        <v>73</v>
      </c>
      <c r="F71" s="103">
        <v>4044</v>
      </c>
      <c r="G71" s="103">
        <v>3642</v>
      </c>
      <c r="H71" s="103">
        <v>3742</v>
      </c>
      <c r="I71" s="103">
        <v>3642</v>
      </c>
      <c r="J71" s="103">
        <v>3742</v>
      </c>
      <c r="K71" s="104"/>
    </row>
    <row r="72" spans="1:11" s="5" customFormat="1" ht="53.25" customHeight="1" x14ac:dyDescent="0.25">
      <c r="A72" s="255"/>
      <c r="B72" s="256"/>
      <c r="C72" s="105" t="s">
        <v>84</v>
      </c>
      <c r="D72" s="106" t="s">
        <v>296</v>
      </c>
      <c r="E72" s="107" t="s">
        <v>31</v>
      </c>
      <c r="F72" s="103">
        <v>103881</v>
      </c>
      <c r="G72" s="103">
        <f>118169.21708+5733.425</f>
        <v>123902.64208000001</v>
      </c>
      <c r="H72" s="103">
        <v>127304.69160000001</v>
      </c>
      <c r="I72" s="103">
        <f>118169.21708+5733.425</f>
        <v>123902.64208000001</v>
      </c>
      <c r="J72" s="103">
        <v>127304.69160000001</v>
      </c>
      <c r="K72" s="104"/>
    </row>
    <row r="73" spans="1:11" s="3" customFormat="1" ht="53.25" customHeight="1" x14ac:dyDescent="0.25">
      <c r="A73" s="255" t="s">
        <v>130</v>
      </c>
      <c r="B73" s="256" t="s">
        <v>131</v>
      </c>
      <c r="C73" s="105" t="s">
        <v>132</v>
      </c>
      <c r="D73" s="106" t="s">
        <v>80</v>
      </c>
      <c r="E73" s="107" t="s">
        <v>73</v>
      </c>
      <c r="F73" s="103">
        <v>40</v>
      </c>
      <c r="G73" s="103">
        <v>40</v>
      </c>
      <c r="H73" s="103">
        <v>542</v>
      </c>
      <c r="I73" s="103">
        <v>542</v>
      </c>
      <c r="J73" s="103">
        <v>542</v>
      </c>
      <c r="K73" s="104"/>
    </row>
    <row r="74" spans="1:11" s="5" customFormat="1" ht="53.25" customHeight="1" x14ac:dyDescent="0.25">
      <c r="A74" s="255"/>
      <c r="B74" s="256"/>
      <c r="C74" s="105" t="s">
        <v>74</v>
      </c>
      <c r="D74" s="106" t="s">
        <v>296</v>
      </c>
      <c r="E74" s="107" t="s">
        <v>31</v>
      </c>
      <c r="F74" s="103">
        <v>327</v>
      </c>
      <c r="G74" s="103">
        <v>326.97498999999999</v>
      </c>
      <c r="H74" s="103">
        <v>13120.98624</v>
      </c>
      <c r="I74" s="103">
        <v>13120.98624</v>
      </c>
      <c r="J74" s="103">
        <v>13120.98624</v>
      </c>
      <c r="K74" s="104"/>
    </row>
    <row r="75" spans="1:11" s="3" customFormat="1" ht="53.25" customHeight="1" x14ac:dyDescent="0.25">
      <c r="A75" s="255" t="s">
        <v>133</v>
      </c>
      <c r="B75" s="256" t="s">
        <v>134</v>
      </c>
      <c r="C75" s="105" t="s">
        <v>135</v>
      </c>
      <c r="D75" s="106" t="s">
        <v>80</v>
      </c>
      <c r="E75" s="107" t="s">
        <v>73</v>
      </c>
      <c r="F75" s="103">
        <v>451</v>
      </c>
      <c r="G75" s="103">
        <v>460</v>
      </c>
      <c r="H75" s="103">
        <v>0</v>
      </c>
      <c r="I75" s="103">
        <v>0</v>
      </c>
      <c r="J75" s="103">
        <v>0</v>
      </c>
      <c r="K75" s="104"/>
    </row>
    <row r="76" spans="1:11" s="5" customFormat="1" ht="53.25" customHeight="1" x14ac:dyDescent="0.25">
      <c r="A76" s="255"/>
      <c r="B76" s="256"/>
      <c r="C76" s="105" t="s">
        <v>84</v>
      </c>
      <c r="D76" s="106" t="s">
        <v>296</v>
      </c>
      <c r="E76" s="107" t="s">
        <v>31</v>
      </c>
      <c r="F76" s="103">
        <v>12584</v>
      </c>
      <c r="G76" s="103">
        <f>11323.70683+825.189+412.6</f>
        <v>12561.49583</v>
      </c>
      <c r="H76" s="103">
        <v>0</v>
      </c>
      <c r="I76" s="103">
        <v>0</v>
      </c>
      <c r="J76" s="103">
        <v>0</v>
      </c>
      <c r="K76" s="104"/>
    </row>
    <row r="77" spans="1:11" s="3" customFormat="1" ht="53.25" customHeight="1" x14ac:dyDescent="0.25">
      <c r="A77" s="255" t="s">
        <v>136</v>
      </c>
      <c r="B77" s="256" t="s">
        <v>110</v>
      </c>
      <c r="C77" s="105" t="s">
        <v>137</v>
      </c>
      <c r="D77" s="106" t="s">
        <v>123</v>
      </c>
      <c r="E77" s="107" t="s">
        <v>73</v>
      </c>
      <c r="F77" s="103">
        <v>2056</v>
      </c>
      <c r="G77" s="103">
        <v>1886</v>
      </c>
      <c r="H77" s="103">
        <v>1854</v>
      </c>
      <c r="I77" s="103">
        <v>1854</v>
      </c>
      <c r="J77" s="103">
        <v>1907</v>
      </c>
      <c r="K77" s="104"/>
    </row>
    <row r="78" spans="1:11" s="5" customFormat="1" ht="53.25" customHeight="1" x14ac:dyDescent="0.25">
      <c r="A78" s="255"/>
      <c r="B78" s="256"/>
      <c r="C78" s="105" t="s">
        <v>84</v>
      </c>
      <c r="D78" s="106" t="s">
        <v>296</v>
      </c>
      <c r="E78" s="107" t="s">
        <v>31</v>
      </c>
      <c r="F78" s="103">
        <v>685295</v>
      </c>
      <c r="G78" s="103">
        <f>596227.26924+5733.425</f>
        <v>601960.6942400001</v>
      </c>
      <c r="H78" s="103">
        <v>617965.43290000001</v>
      </c>
      <c r="I78" s="103">
        <v>617965.43290000001</v>
      </c>
      <c r="J78" s="103">
        <v>635752.28289999999</v>
      </c>
      <c r="K78" s="111"/>
    </row>
    <row r="79" spans="1:11" s="3" customFormat="1" ht="69.75" customHeight="1" x14ac:dyDescent="0.25">
      <c r="A79" s="255" t="s">
        <v>138</v>
      </c>
      <c r="B79" s="256" t="s">
        <v>139</v>
      </c>
      <c r="C79" s="105" t="s">
        <v>140</v>
      </c>
      <c r="D79" s="106" t="s">
        <v>123</v>
      </c>
      <c r="E79" s="107" t="s">
        <v>73</v>
      </c>
      <c r="F79" s="103">
        <v>262</v>
      </c>
      <c r="G79" s="103">
        <v>240</v>
      </c>
      <c r="H79" s="103">
        <v>250</v>
      </c>
      <c r="I79" s="103">
        <v>250</v>
      </c>
      <c r="J79" s="103">
        <v>250</v>
      </c>
      <c r="K79" s="104"/>
    </row>
    <row r="80" spans="1:11" s="5" customFormat="1" ht="53.25" customHeight="1" x14ac:dyDescent="0.25">
      <c r="A80" s="255"/>
      <c r="B80" s="256"/>
      <c r="C80" s="105" t="s">
        <v>84</v>
      </c>
      <c r="D80" s="106" t="s">
        <v>296</v>
      </c>
      <c r="E80" s="107" t="s">
        <v>31</v>
      </c>
      <c r="F80" s="103">
        <v>11354.05</v>
      </c>
      <c r="G80" s="103">
        <f>10411.73075+5733.425</f>
        <v>16145.155750000002</v>
      </c>
      <c r="H80" s="103">
        <v>13500</v>
      </c>
      <c r="I80" s="103">
        <v>13500</v>
      </c>
      <c r="J80" s="103">
        <v>13500</v>
      </c>
      <c r="K80" s="104"/>
    </row>
    <row r="81" spans="1:11" s="3" customFormat="1" ht="53.25" customHeight="1" x14ac:dyDescent="0.25">
      <c r="A81" s="255" t="s">
        <v>141</v>
      </c>
      <c r="B81" s="256" t="s">
        <v>142</v>
      </c>
      <c r="C81" s="105" t="s">
        <v>143</v>
      </c>
      <c r="D81" s="106" t="s">
        <v>123</v>
      </c>
      <c r="E81" s="107" t="s">
        <v>73</v>
      </c>
      <c r="F81" s="103">
        <v>1211</v>
      </c>
      <c r="G81" s="103">
        <v>1029</v>
      </c>
      <c r="H81" s="103">
        <v>1252</v>
      </c>
      <c r="I81" s="103">
        <v>1029</v>
      </c>
      <c r="J81" s="103">
        <v>1252</v>
      </c>
      <c r="K81" s="104"/>
    </row>
    <row r="82" spans="1:11" s="5" customFormat="1" ht="53.25" customHeight="1" x14ac:dyDescent="0.25">
      <c r="A82" s="255"/>
      <c r="B82" s="256"/>
      <c r="C82" s="105" t="s">
        <v>84</v>
      </c>
      <c r="D82" s="106" t="s">
        <v>296</v>
      </c>
      <c r="E82" s="107" t="s">
        <v>31</v>
      </c>
      <c r="F82" s="103">
        <v>54384</v>
      </c>
      <c r="G82" s="103">
        <f>42563.60034+5733.425</f>
        <v>48297.02534</v>
      </c>
      <c r="H82" s="103">
        <v>51261.730989999996</v>
      </c>
      <c r="I82" s="103">
        <f>42563.60034+5733.425</f>
        <v>48297.02534</v>
      </c>
      <c r="J82" s="103">
        <v>51261.730989999996</v>
      </c>
      <c r="K82" s="104"/>
    </row>
    <row r="83" spans="1:11" s="3" customFormat="1" ht="53.25" customHeight="1" x14ac:dyDescent="0.25">
      <c r="A83" s="255" t="s">
        <v>144</v>
      </c>
      <c r="B83" s="256" t="s">
        <v>145</v>
      </c>
      <c r="C83" s="105" t="s">
        <v>146</v>
      </c>
      <c r="D83" s="106" t="s">
        <v>72</v>
      </c>
      <c r="E83" s="107" t="s">
        <v>73</v>
      </c>
      <c r="F83" s="103">
        <v>10426</v>
      </c>
      <c r="G83" s="103">
        <v>10370</v>
      </c>
      <c r="H83" s="103">
        <v>10370</v>
      </c>
      <c r="I83" s="103">
        <v>10370</v>
      </c>
      <c r="J83" s="103">
        <v>10370</v>
      </c>
      <c r="K83" s="104"/>
    </row>
    <row r="84" spans="1:11" s="5" customFormat="1" ht="53.25" customHeight="1" x14ac:dyDescent="0.25">
      <c r="A84" s="255"/>
      <c r="B84" s="256"/>
      <c r="C84" s="105" t="s">
        <v>147</v>
      </c>
      <c r="D84" s="106" t="s">
        <v>296</v>
      </c>
      <c r="E84" s="107" t="s">
        <v>31</v>
      </c>
      <c r="F84" s="103">
        <v>6236.0690000000004</v>
      </c>
      <c r="G84" s="103">
        <f>4741.164+3487.3536</f>
        <v>8228.5175999999992</v>
      </c>
      <c r="H84" s="103">
        <v>8228.5175999999992</v>
      </c>
      <c r="I84" s="103">
        <v>8228.5175999999992</v>
      </c>
      <c r="J84" s="103">
        <v>8228.5175999999992</v>
      </c>
      <c r="K84" s="104"/>
    </row>
    <row r="85" spans="1:11" s="3" customFormat="1" ht="74.25" customHeight="1" x14ac:dyDescent="0.25">
      <c r="A85" s="255" t="s">
        <v>148</v>
      </c>
      <c r="B85" s="256" t="s">
        <v>149</v>
      </c>
      <c r="C85" s="105" t="s">
        <v>150</v>
      </c>
      <c r="D85" s="106" t="s">
        <v>151</v>
      </c>
      <c r="E85" s="107" t="s">
        <v>43</v>
      </c>
      <c r="F85" s="103">
        <v>6946</v>
      </c>
      <c r="G85" s="103">
        <v>6700</v>
      </c>
      <c r="H85" s="103">
        <v>6700</v>
      </c>
      <c r="I85" s="103">
        <v>6700</v>
      </c>
      <c r="J85" s="103">
        <v>6700</v>
      </c>
      <c r="K85" s="104"/>
    </row>
    <row r="86" spans="1:11" s="5" customFormat="1" ht="53.25" customHeight="1" x14ac:dyDescent="0.25">
      <c r="A86" s="255"/>
      <c r="B86" s="256"/>
      <c r="C86" s="105" t="s">
        <v>147</v>
      </c>
      <c r="D86" s="106" t="s">
        <v>296</v>
      </c>
      <c r="E86" s="107" t="s">
        <v>31</v>
      </c>
      <c r="F86" s="103">
        <v>11297.112999999999</v>
      </c>
      <c r="G86" s="103">
        <v>11311.25922</v>
      </c>
      <c r="H86" s="103">
        <v>11311.25922</v>
      </c>
      <c r="I86" s="103">
        <v>11311.25922</v>
      </c>
      <c r="J86" s="103">
        <v>11311.25922</v>
      </c>
      <c r="K86" s="104"/>
    </row>
    <row r="87" spans="1:11" s="3" customFormat="1" ht="53.25" customHeight="1" x14ac:dyDescent="0.25">
      <c r="A87" s="255" t="s">
        <v>152</v>
      </c>
      <c r="B87" s="256" t="s">
        <v>153</v>
      </c>
      <c r="C87" s="105" t="s">
        <v>154</v>
      </c>
      <c r="D87" s="106" t="s">
        <v>151</v>
      </c>
      <c r="E87" s="107" t="s">
        <v>43</v>
      </c>
      <c r="F87" s="103">
        <v>5389</v>
      </c>
      <c r="G87" s="103">
        <v>1700</v>
      </c>
      <c r="H87" s="103">
        <v>1700</v>
      </c>
      <c r="I87" s="103">
        <v>1700</v>
      </c>
      <c r="J87" s="103">
        <v>1700</v>
      </c>
      <c r="K87" s="104"/>
    </row>
    <row r="88" spans="1:11" s="5" customFormat="1" ht="53.25" customHeight="1" x14ac:dyDescent="0.25">
      <c r="A88" s="255"/>
      <c r="B88" s="256"/>
      <c r="C88" s="105" t="s">
        <v>147</v>
      </c>
      <c r="D88" s="106" t="s">
        <v>296</v>
      </c>
      <c r="E88" s="107" t="s">
        <v>31</v>
      </c>
      <c r="F88" s="103">
        <v>59559.288</v>
      </c>
      <c r="G88" s="103">
        <v>37839.979899999998</v>
      </c>
      <c r="H88" s="103">
        <v>37839.979899999998</v>
      </c>
      <c r="I88" s="103">
        <v>37839.979899999998</v>
      </c>
      <c r="J88" s="103">
        <v>37839.979899999998</v>
      </c>
      <c r="K88" s="104"/>
    </row>
    <row r="89" spans="1:11" s="3" customFormat="1" ht="53.25" customHeight="1" x14ac:dyDescent="0.25">
      <c r="A89" s="255" t="s">
        <v>155</v>
      </c>
      <c r="B89" s="256" t="s">
        <v>156</v>
      </c>
      <c r="C89" s="105" t="s">
        <v>157</v>
      </c>
      <c r="D89" s="106" t="s">
        <v>151</v>
      </c>
      <c r="E89" s="107" t="s">
        <v>43</v>
      </c>
      <c r="F89" s="103">
        <v>2502</v>
      </c>
      <c r="G89" s="103">
        <v>3700</v>
      </c>
      <c r="H89" s="103">
        <v>4300</v>
      </c>
      <c r="I89" s="103">
        <v>4300</v>
      </c>
      <c r="J89" s="103">
        <v>4300</v>
      </c>
      <c r="K89" s="104"/>
    </row>
    <row r="90" spans="1:11" s="5" customFormat="1" ht="53.25" customHeight="1" x14ac:dyDescent="0.25">
      <c r="A90" s="255"/>
      <c r="B90" s="256"/>
      <c r="C90" s="105" t="s">
        <v>147</v>
      </c>
      <c r="D90" s="106" t="s">
        <v>296</v>
      </c>
      <c r="E90" s="107" t="s">
        <v>31</v>
      </c>
      <c r="F90" s="103">
        <v>37839.979899999998</v>
      </c>
      <c r="G90" s="103">
        <v>59559.288289999997</v>
      </c>
      <c r="H90" s="103">
        <v>69217.551255945946</v>
      </c>
      <c r="I90" s="103">
        <v>69217.551255945946</v>
      </c>
      <c r="J90" s="103">
        <v>69217.551255945946</v>
      </c>
      <c r="K90" s="104"/>
    </row>
    <row r="91" spans="1:11" s="3" customFormat="1" ht="53.25" customHeight="1" x14ac:dyDescent="0.25">
      <c r="A91" s="255" t="s">
        <v>158</v>
      </c>
      <c r="B91" s="256" t="s">
        <v>159</v>
      </c>
      <c r="C91" s="105" t="s">
        <v>160</v>
      </c>
      <c r="D91" s="106" t="s">
        <v>151</v>
      </c>
      <c r="E91" s="107" t="s">
        <v>43</v>
      </c>
      <c r="F91" s="103">
        <v>107783</v>
      </c>
      <c r="G91" s="103">
        <v>82902</v>
      </c>
      <c r="H91" s="103">
        <v>107783</v>
      </c>
      <c r="I91" s="103">
        <v>99502</v>
      </c>
      <c r="J91" s="103">
        <v>107360</v>
      </c>
      <c r="K91" s="104"/>
    </row>
    <row r="92" spans="1:11" s="5" customFormat="1" ht="53.25" customHeight="1" x14ac:dyDescent="0.25">
      <c r="A92" s="255"/>
      <c r="B92" s="256"/>
      <c r="C92" s="105" t="s">
        <v>147</v>
      </c>
      <c r="D92" s="106" t="s">
        <v>296</v>
      </c>
      <c r="E92" s="107" t="s">
        <v>31</v>
      </c>
      <c r="F92" s="103">
        <f>254412.201-6001.85</f>
        <v>248410.351</v>
      </c>
      <c r="G92" s="103">
        <f>122286.9+285.89</f>
        <v>122572.79</v>
      </c>
      <c r="H92" s="103">
        <f>159360.003673856+23473.98</f>
        <v>182833.98367385601</v>
      </c>
      <c r="I92" s="103">
        <v>168786.98367385601</v>
      </c>
      <c r="J92" s="103">
        <v>182117.68367385602</v>
      </c>
      <c r="K92" s="111"/>
    </row>
    <row r="93" spans="1:11" s="3" customFormat="1" ht="53.25" customHeight="1" x14ac:dyDescent="0.25">
      <c r="A93" s="255" t="s">
        <v>161</v>
      </c>
      <c r="B93" s="256" t="s">
        <v>162</v>
      </c>
      <c r="C93" s="105" t="s">
        <v>163</v>
      </c>
      <c r="D93" s="106" t="s">
        <v>164</v>
      </c>
      <c r="E93" s="107" t="s">
        <v>165</v>
      </c>
      <c r="F93" s="103">
        <v>5928</v>
      </c>
      <c r="G93" s="103">
        <v>6000</v>
      </c>
      <c r="H93" s="103">
        <v>6000</v>
      </c>
      <c r="I93" s="103">
        <v>6000</v>
      </c>
      <c r="J93" s="103">
        <v>6000</v>
      </c>
      <c r="K93" s="104"/>
    </row>
    <row r="94" spans="1:11" s="5" customFormat="1" ht="53.25" customHeight="1" x14ac:dyDescent="0.25">
      <c r="A94" s="255"/>
      <c r="B94" s="256"/>
      <c r="C94" s="105" t="s">
        <v>147</v>
      </c>
      <c r="D94" s="106" t="s">
        <v>296</v>
      </c>
      <c r="E94" s="107" t="s">
        <v>31</v>
      </c>
      <c r="F94" s="103">
        <v>3160.0538999999999</v>
      </c>
      <c r="G94" s="103">
        <v>3160.0569500000001</v>
      </c>
      <c r="H94" s="103">
        <v>4191.7729799999997</v>
      </c>
      <c r="I94" s="103">
        <v>4191.7729799999997</v>
      </c>
      <c r="J94" s="103">
        <v>4191.7729799999997</v>
      </c>
      <c r="K94" s="104"/>
    </row>
    <row r="95" spans="1:11" s="3" customFormat="1" ht="53.25" customHeight="1" x14ac:dyDescent="0.25">
      <c r="A95" s="255" t="s">
        <v>166</v>
      </c>
      <c r="B95" s="256" t="s">
        <v>167</v>
      </c>
      <c r="C95" s="105" t="s">
        <v>168</v>
      </c>
      <c r="D95" s="106" t="s">
        <v>151</v>
      </c>
      <c r="E95" s="107" t="s">
        <v>43</v>
      </c>
      <c r="F95" s="103">
        <v>684</v>
      </c>
      <c r="G95" s="103">
        <v>1152</v>
      </c>
      <c r="H95" s="103">
        <v>1700</v>
      </c>
      <c r="I95" s="103">
        <v>1700</v>
      </c>
      <c r="J95" s="103">
        <v>1700</v>
      </c>
      <c r="K95" s="104"/>
    </row>
    <row r="96" spans="1:11" s="5" customFormat="1" ht="53.25" customHeight="1" x14ac:dyDescent="0.25">
      <c r="A96" s="255"/>
      <c r="B96" s="256"/>
      <c r="C96" s="105" t="s">
        <v>147</v>
      </c>
      <c r="D96" s="106" t="s">
        <v>296</v>
      </c>
      <c r="E96" s="107" t="s">
        <v>31</v>
      </c>
      <c r="F96" s="103">
        <v>22401</v>
      </c>
      <c r="G96" s="103">
        <v>24366.799999999999</v>
      </c>
      <c r="H96" s="103">
        <v>35957.951388888883</v>
      </c>
      <c r="I96" s="103">
        <v>35957.951388888883</v>
      </c>
      <c r="J96" s="103">
        <v>35957.951388888883</v>
      </c>
      <c r="K96" s="104"/>
    </row>
    <row r="97" spans="1:13" s="3" customFormat="1" ht="53.25" customHeight="1" x14ac:dyDescent="0.25">
      <c r="A97" s="255" t="s">
        <v>169</v>
      </c>
      <c r="B97" s="256" t="s">
        <v>170</v>
      </c>
      <c r="C97" s="105" t="s">
        <v>171</v>
      </c>
      <c r="D97" s="106" t="s">
        <v>151</v>
      </c>
      <c r="E97" s="107" t="s">
        <v>12</v>
      </c>
      <c r="F97" s="103">
        <v>563099</v>
      </c>
      <c r="G97" s="103">
        <v>200000</v>
      </c>
      <c r="H97" s="103">
        <v>250563</v>
      </c>
      <c r="I97" s="103">
        <v>245671</v>
      </c>
      <c r="J97" s="103">
        <v>250563</v>
      </c>
      <c r="K97" s="104"/>
    </row>
    <row r="98" spans="1:13" s="5" customFormat="1" ht="53.25" customHeight="1" x14ac:dyDescent="0.25">
      <c r="A98" s="255"/>
      <c r="B98" s="256"/>
      <c r="C98" s="105" t="s">
        <v>30</v>
      </c>
      <c r="D98" s="106" t="s">
        <v>296</v>
      </c>
      <c r="E98" s="107" t="s">
        <v>31</v>
      </c>
      <c r="F98" s="103">
        <v>46476.52</v>
      </c>
      <c r="G98" s="103">
        <f>46476.52166+1863.9289</f>
        <v>48340.450559999997</v>
      </c>
      <c r="H98" s="103">
        <v>60561.765839999993</v>
      </c>
      <c r="I98" s="103">
        <v>59379.345999999998</v>
      </c>
      <c r="J98" s="103">
        <v>60561.765839999993</v>
      </c>
      <c r="K98" s="112"/>
      <c r="M98" s="6"/>
    </row>
    <row r="99" spans="1:13" s="3" customFormat="1" ht="53.25" customHeight="1" x14ac:dyDescent="0.25">
      <c r="A99" s="255" t="s">
        <v>172</v>
      </c>
      <c r="B99" s="256" t="s">
        <v>173</v>
      </c>
      <c r="C99" s="105" t="s">
        <v>174</v>
      </c>
      <c r="D99" s="106" t="s">
        <v>151</v>
      </c>
      <c r="E99" s="107" t="s">
        <v>12</v>
      </c>
      <c r="F99" s="103">
        <v>12383</v>
      </c>
      <c r="G99" s="103">
        <v>0</v>
      </c>
      <c r="H99" s="103">
        <v>0</v>
      </c>
      <c r="I99" s="103">
        <v>0</v>
      </c>
      <c r="J99" s="103">
        <v>0</v>
      </c>
      <c r="K99" s="104"/>
    </row>
    <row r="100" spans="1:13" s="5" customFormat="1" ht="53.25" customHeight="1" x14ac:dyDescent="0.25">
      <c r="A100" s="255"/>
      <c r="B100" s="256"/>
      <c r="C100" s="105" t="s">
        <v>147</v>
      </c>
      <c r="D100" s="106" t="s">
        <v>296</v>
      </c>
      <c r="E100" s="107" t="s">
        <v>31</v>
      </c>
      <c r="F100" s="103">
        <v>11874</v>
      </c>
      <c r="G100" s="103">
        <v>0</v>
      </c>
      <c r="H100" s="103">
        <v>0</v>
      </c>
      <c r="I100" s="103">
        <v>0</v>
      </c>
      <c r="J100" s="103">
        <v>0</v>
      </c>
      <c r="K100" s="104"/>
    </row>
    <row r="101" spans="1:13" s="3" customFormat="1" ht="53.25" customHeight="1" x14ac:dyDescent="0.25">
      <c r="A101" s="255" t="s">
        <v>175</v>
      </c>
      <c r="B101" s="256" t="s">
        <v>176</v>
      </c>
      <c r="C101" s="105" t="s">
        <v>177</v>
      </c>
      <c r="D101" s="106" t="s">
        <v>178</v>
      </c>
      <c r="E101" s="107" t="s">
        <v>179</v>
      </c>
      <c r="F101" s="103">
        <v>167619</v>
      </c>
      <c r="G101" s="103">
        <v>162072</v>
      </c>
      <c r="H101" s="103">
        <v>162072</v>
      </c>
      <c r="I101" s="103">
        <v>146226</v>
      </c>
      <c r="J101" s="103">
        <v>162072</v>
      </c>
      <c r="K101" s="104"/>
    </row>
    <row r="102" spans="1:13" s="5" customFormat="1" ht="53.25" customHeight="1" x14ac:dyDescent="0.25">
      <c r="A102" s="255"/>
      <c r="B102" s="256"/>
      <c r="C102" s="105" t="s">
        <v>84</v>
      </c>
      <c r="D102" s="106" t="s">
        <v>296</v>
      </c>
      <c r="E102" s="107" t="s">
        <v>31</v>
      </c>
      <c r="F102" s="103">
        <v>270669</v>
      </c>
      <c r="G102" s="103">
        <v>247070.53941999999</v>
      </c>
      <c r="H102" s="103">
        <v>300000</v>
      </c>
      <c r="I102" s="103">
        <v>270669</v>
      </c>
      <c r="J102" s="103">
        <v>300000</v>
      </c>
      <c r="K102" s="111"/>
    </row>
    <row r="103" spans="1:13" s="3" customFormat="1" ht="201" customHeight="1" x14ac:dyDescent="0.25">
      <c r="A103" s="255" t="s">
        <v>180</v>
      </c>
      <c r="B103" s="256" t="s">
        <v>181</v>
      </c>
      <c r="C103" s="105" t="s">
        <v>182</v>
      </c>
      <c r="D103" s="106" t="s">
        <v>178</v>
      </c>
      <c r="E103" s="107" t="s">
        <v>179</v>
      </c>
      <c r="F103" s="103">
        <v>445026</v>
      </c>
      <c r="G103" s="103">
        <v>444239</v>
      </c>
      <c r="H103" s="103">
        <v>444239</v>
      </c>
      <c r="I103" s="103">
        <v>467262</v>
      </c>
      <c r="J103" s="103">
        <v>484398</v>
      </c>
      <c r="K103" s="104"/>
      <c r="M103" s="4"/>
    </row>
    <row r="104" spans="1:13" s="5" customFormat="1" ht="53.25" customHeight="1" x14ac:dyDescent="0.25">
      <c r="A104" s="255"/>
      <c r="B104" s="256"/>
      <c r="C104" s="105" t="s">
        <v>183</v>
      </c>
      <c r="D104" s="106" t="s">
        <v>296</v>
      </c>
      <c r="E104" s="107" t="s">
        <v>31</v>
      </c>
      <c r="F104" s="103">
        <v>842618.83</v>
      </c>
      <c r="G104" s="103">
        <f>814639.90484+15981.79</f>
        <v>830621.69484000001</v>
      </c>
      <c r="H104" s="103">
        <v>942786.24501000007</v>
      </c>
      <c r="I104" s="103">
        <v>991647.6550100001</v>
      </c>
      <c r="J104" s="103">
        <v>1028013.83501</v>
      </c>
      <c r="K104" s="111"/>
      <c r="M104" s="7"/>
    </row>
    <row r="105" spans="1:13" s="3" customFormat="1" ht="53.25" customHeight="1" x14ac:dyDescent="0.25">
      <c r="A105" s="255" t="s">
        <v>184</v>
      </c>
      <c r="B105" s="256" t="s">
        <v>185</v>
      </c>
      <c r="C105" s="105" t="s">
        <v>186</v>
      </c>
      <c r="D105" s="106" t="s">
        <v>187</v>
      </c>
      <c r="E105" s="107" t="s">
        <v>67</v>
      </c>
      <c r="F105" s="103">
        <v>188</v>
      </c>
      <c r="G105" s="103">
        <v>160</v>
      </c>
      <c r="H105" s="103">
        <v>160</v>
      </c>
      <c r="I105" s="103">
        <v>160</v>
      </c>
      <c r="J105" s="103">
        <v>181</v>
      </c>
      <c r="K105" s="104"/>
    </row>
    <row r="106" spans="1:13" s="5" customFormat="1" ht="53.25" customHeight="1" x14ac:dyDescent="0.25">
      <c r="A106" s="255"/>
      <c r="B106" s="256"/>
      <c r="C106" s="105" t="s">
        <v>188</v>
      </c>
      <c r="D106" s="106" t="s">
        <v>296</v>
      </c>
      <c r="E106" s="107" t="s">
        <v>31</v>
      </c>
      <c r="F106" s="103">
        <v>145324.25</v>
      </c>
      <c r="G106" s="103">
        <v>147536.52502</v>
      </c>
      <c r="H106" s="103">
        <f>147536.52502+0.47</f>
        <v>147536.99502</v>
      </c>
      <c r="I106" s="103">
        <f t="shared" ref="I106" si="7">147536.52502+0.47</f>
        <v>147536.99502</v>
      </c>
      <c r="J106" s="103">
        <v>167222.79501999999</v>
      </c>
      <c r="K106" s="111"/>
    </row>
    <row r="107" spans="1:13" s="3" customFormat="1" ht="53.25" customHeight="1" x14ac:dyDescent="0.25">
      <c r="A107" s="255" t="s">
        <v>189</v>
      </c>
      <c r="B107" s="256" t="s">
        <v>159</v>
      </c>
      <c r="C107" s="105" t="s">
        <v>160</v>
      </c>
      <c r="D107" s="106" t="s">
        <v>72</v>
      </c>
      <c r="E107" s="107" t="s">
        <v>73</v>
      </c>
      <c r="F107" s="103">
        <v>7065</v>
      </c>
      <c r="G107" s="103">
        <v>0</v>
      </c>
      <c r="H107" s="103">
        <v>0</v>
      </c>
      <c r="I107" s="103">
        <v>0</v>
      </c>
      <c r="J107" s="103">
        <v>0</v>
      </c>
      <c r="K107" s="104"/>
    </row>
    <row r="108" spans="1:13" s="3" customFormat="1" ht="53.25" customHeight="1" x14ac:dyDescent="0.25">
      <c r="A108" s="255"/>
      <c r="B108" s="256"/>
      <c r="C108" s="105" t="s">
        <v>74</v>
      </c>
      <c r="D108" s="106" t="s">
        <v>296</v>
      </c>
      <c r="E108" s="107" t="s">
        <v>31</v>
      </c>
      <c r="F108" s="103">
        <v>4036</v>
      </c>
      <c r="G108" s="103">
        <v>0</v>
      </c>
      <c r="H108" s="103">
        <v>0</v>
      </c>
      <c r="I108" s="103">
        <v>0</v>
      </c>
      <c r="J108" s="103">
        <v>0</v>
      </c>
      <c r="K108" s="104"/>
    </row>
    <row r="109" spans="1:13" s="3" customFormat="1" ht="53.25" customHeight="1" x14ac:dyDescent="0.25">
      <c r="A109" s="255" t="s">
        <v>190</v>
      </c>
      <c r="B109" s="256" t="s">
        <v>159</v>
      </c>
      <c r="C109" s="105" t="s">
        <v>160</v>
      </c>
      <c r="D109" s="106" t="s">
        <v>123</v>
      </c>
      <c r="E109" s="107" t="s">
        <v>73</v>
      </c>
      <c r="F109" s="103">
        <v>1576</v>
      </c>
      <c r="G109" s="103">
        <v>0</v>
      </c>
      <c r="H109" s="103">
        <v>0</v>
      </c>
      <c r="I109" s="103">
        <v>0</v>
      </c>
      <c r="J109" s="103"/>
      <c r="K109" s="104"/>
    </row>
    <row r="110" spans="1:13" s="5" customFormat="1" ht="53.25" customHeight="1" x14ac:dyDescent="0.25">
      <c r="A110" s="255"/>
      <c r="B110" s="256"/>
      <c r="C110" s="105" t="s">
        <v>84</v>
      </c>
      <c r="D110" s="106" t="s">
        <v>296</v>
      </c>
      <c r="E110" s="107" t="s">
        <v>31</v>
      </c>
      <c r="F110" s="103">
        <v>26399</v>
      </c>
      <c r="G110" s="103">
        <v>0</v>
      </c>
      <c r="H110" s="103">
        <v>0</v>
      </c>
      <c r="I110" s="103">
        <v>0</v>
      </c>
      <c r="J110" s="103"/>
      <c r="K110" s="104"/>
      <c r="L110" s="8"/>
    </row>
    <row r="111" spans="1:13" s="3" customFormat="1" ht="53.25" customHeight="1" x14ac:dyDescent="0.25">
      <c r="A111" s="255" t="s">
        <v>191</v>
      </c>
      <c r="B111" s="256" t="s">
        <v>192</v>
      </c>
      <c r="C111" s="105" t="s">
        <v>193</v>
      </c>
      <c r="D111" s="106" t="s">
        <v>187</v>
      </c>
      <c r="E111" s="107" t="s">
        <v>67</v>
      </c>
      <c r="F111" s="103">
        <v>7</v>
      </c>
      <c r="G111" s="103">
        <v>1</v>
      </c>
      <c r="H111" s="103">
        <v>1</v>
      </c>
      <c r="I111" s="103">
        <v>1</v>
      </c>
      <c r="J111" s="103">
        <v>1</v>
      </c>
      <c r="K111" s="104"/>
    </row>
    <row r="112" spans="1:13" s="5" customFormat="1" ht="53.25" customHeight="1" x14ac:dyDescent="0.25">
      <c r="A112" s="255"/>
      <c r="B112" s="256"/>
      <c r="C112" s="105" t="s">
        <v>194</v>
      </c>
      <c r="D112" s="106" t="s">
        <v>296</v>
      </c>
      <c r="E112" s="107" t="s">
        <v>31</v>
      </c>
      <c r="F112" s="103">
        <v>1378</v>
      </c>
      <c r="G112" s="103">
        <v>202.73500000000001</v>
      </c>
      <c r="H112" s="103">
        <v>202.73500000000001</v>
      </c>
      <c r="I112" s="103">
        <v>202.73500000000001</v>
      </c>
      <c r="J112" s="103">
        <v>202.73500000000001</v>
      </c>
      <c r="K112" s="104"/>
    </row>
    <row r="113" spans="1:11" s="3" customFormat="1" ht="134.25" customHeight="1" x14ac:dyDescent="0.25">
      <c r="A113" s="255" t="s">
        <v>195</v>
      </c>
      <c r="B113" s="256" t="s">
        <v>196</v>
      </c>
      <c r="C113" s="105" t="s">
        <v>197</v>
      </c>
      <c r="D113" s="106" t="s">
        <v>187</v>
      </c>
      <c r="E113" s="107" t="s">
        <v>67</v>
      </c>
      <c r="F113" s="103">
        <v>160</v>
      </c>
      <c r="G113" s="103">
        <v>200</v>
      </c>
      <c r="H113" s="103">
        <v>200</v>
      </c>
      <c r="I113" s="103">
        <v>200</v>
      </c>
      <c r="J113" s="103">
        <v>200</v>
      </c>
      <c r="K113" s="104"/>
    </row>
    <row r="114" spans="1:11" s="5" customFormat="1" ht="53.25" customHeight="1" x14ac:dyDescent="0.25">
      <c r="A114" s="255"/>
      <c r="B114" s="256"/>
      <c r="C114" s="105" t="s">
        <v>194</v>
      </c>
      <c r="D114" s="106" t="s">
        <v>296</v>
      </c>
      <c r="E114" s="107" t="s">
        <v>31</v>
      </c>
      <c r="F114" s="103">
        <v>60640</v>
      </c>
      <c r="G114" s="103">
        <v>73195.553</v>
      </c>
      <c r="H114" s="103">
        <v>73195.553</v>
      </c>
      <c r="I114" s="103">
        <v>73195.553</v>
      </c>
      <c r="J114" s="103">
        <v>73195.553</v>
      </c>
      <c r="K114" s="104"/>
    </row>
    <row r="115" spans="1:11" s="3" customFormat="1" ht="53.25" customHeight="1" x14ac:dyDescent="0.25">
      <c r="A115" s="255" t="s">
        <v>198</v>
      </c>
      <c r="B115" s="256" t="s">
        <v>199</v>
      </c>
      <c r="C115" s="105" t="s">
        <v>200</v>
      </c>
      <c r="D115" s="106" t="s">
        <v>187</v>
      </c>
      <c r="E115" s="107" t="s">
        <v>67</v>
      </c>
      <c r="F115" s="103">
        <v>32</v>
      </c>
      <c r="G115" s="103">
        <v>50</v>
      </c>
      <c r="H115" s="103">
        <v>50</v>
      </c>
      <c r="I115" s="103">
        <v>50</v>
      </c>
      <c r="J115" s="103">
        <v>50</v>
      </c>
      <c r="K115" s="104"/>
    </row>
    <row r="116" spans="1:11" s="5" customFormat="1" ht="53.25" customHeight="1" x14ac:dyDescent="0.25">
      <c r="A116" s="255"/>
      <c r="B116" s="256"/>
      <c r="C116" s="105" t="s">
        <v>194</v>
      </c>
      <c r="D116" s="106" t="s">
        <v>296</v>
      </c>
      <c r="E116" s="107" t="s">
        <v>31</v>
      </c>
      <c r="F116" s="103">
        <v>5429</v>
      </c>
      <c r="G116" s="103">
        <v>8738</v>
      </c>
      <c r="H116" s="103">
        <v>8738</v>
      </c>
      <c r="I116" s="103">
        <v>8738</v>
      </c>
      <c r="J116" s="103">
        <v>8738</v>
      </c>
      <c r="K116" s="104"/>
    </row>
    <row r="117" spans="1:11" s="3" customFormat="1" ht="53.25" customHeight="1" x14ac:dyDescent="0.25">
      <c r="A117" s="255" t="s">
        <v>201</v>
      </c>
      <c r="B117" s="256" t="s">
        <v>202</v>
      </c>
      <c r="C117" s="105" t="s">
        <v>203</v>
      </c>
      <c r="D117" s="106" t="s">
        <v>187</v>
      </c>
      <c r="E117" s="107" t="s">
        <v>67</v>
      </c>
      <c r="F117" s="103">
        <v>2</v>
      </c>
      <c r="G117" s="103">
        <v>0</v>
      </c>
      <c r="H117" s="103">
        <v>0</v>
      </c>
      <c r="I117" s="103">
        <v>0</v>
      </c>
      <c r="J117" s="103">
        <v>0</v>
      </c>
      <c r="K117" s="104"/>
    </row>
    <row r="118" spans="1:11" s="5" customFormat="1" ht="53.25" customHeight="1" x14ac:dyDescent="0.25">
      <c r="A118" s="255"/>
      <c r="B118" s="256"/>
      <c r="C118" s="105" t="s">
        <v>194</v>
      </c>
      <c r="D118" s="106" t="s">
        <v>296</v>
      </c>
      <c r="E118" s="107" t="s">
        <v>31</v>
      </c>
      <c r="F118" s="103">
        <v>707</v>
      </c>
      <c r="G118" s="103">
        <v>0</v>
      </c>
      <c r="H118" s="103">
        <v>0</v>
      </c>
      <c r="I118" s="103">
        <v>0</v>
      </c>
      <c r="J118" s="103">
        <v>0</v>
      </c>
      <c r="K118" s="104"/>
    </row>
    <row r="119" spans="1:11" s="3" customFormat="1" ht="53.25" customHeight="1" x14ac:dyDescent="0.25">
      <c r="A119" s="255" t="s">
        <v>204</v>
      </c>
      <c r="B119" s="256" t="s">
        <v>205</v>
      </c>
      <c r="C119" s="105" t="s">
        <v>206</v>
      </c>
      <c r="D119" s="106" t="s">
        <v>187</v>
      </c>
      <c r="E119" s="107" t="s">
        <v>67</v>
      </c>
      <c r="F119" s="103">
        <v>46</v>
      </c>
      <c r="G119" s="103">
        <v>30</v>
      </c>
      <c r="H119" s="103">
        <v>30</v>
      </c>
      <c r="I119" s="103">
        <v>30</v>
      </c>
      <c r="J119" s="103">
        <v>30</v>
      </c>
      <c r="K119" s="104"/>
    </row>
    <row r="120" spans="1:11" s="5" customFormat="1" ht="53.25" customHeight="1" x14ac:dyDescent="0.25">
      <c r="A120" s="255"/>
      <c r="B120" s="256"/>
      <c r="C120" s="105" t="s">
        <v>194</v>
      </c>
      <c r="D120" s="106" t="s">
        <v>296</v>
      </c>
      <c r="E120" s="107" t="s">
        <v>31</v>
      </c>
      <c r="F120" s="103">
        <v>5363.14</v>
      </c>
      <c r="G120" s="103">
        <v>3602.64</v>
      </c>
      <c r="H120" s="103">
        <v>3602.64</v>
      </c>
      <c r="I120" s="103">
        <v>3602.64</v>
      </c>
      <c r="J120" s="103">
        <v>3602.64</v>
      </c>
      <c r="K120" s="104"/>
    </row>
    <row r="121" spans="1:11" s="3" customFormat="1" ht="104.25" customHeight="1" x14ac:dyDescent="0.25">
      <c r="A121" s="255" t="s">
        <v>207</v>
      </c>
      <c r="B121" s="256" t="s">
        <v>208</v>
      </c>
      <c r="C121" s="105" t="s">
        <v>209</v>
      </c>
      <c r="D121" s="106" t="s">
        <v>187</v>
      </c>
      <c r="E121" s="107" t="s">
        <v>67</v>
      </c>
      <c r="F121" s="103">
        <v>674</v>
      </c>
      <c r="G121" s="103">
        <v>666</v>
      </c>
      <c r="H121" s="103">
        <v>666</v>
      </c>
      <c r="I121" s="103">
        <v>666</v>
      </c>
      <c r="J121" s="103">
        <v>666</v>
      </c>
      <c r="K121" s="104"/>
    </row>
    <row r="122" spans="1:11" s="3" customFormat="1" ht="53.25" customHeight="1" x14ac:dyDescent="0.25">
      <c r="A122" s="255"/>
      <c r="B122" s="256"/>
      <c r="C122" s="105" t="s">
        <v>194</v>
      </c>
      <c r="D122" s="106" t="s">
        <v>296</v>
      </c>
      <c r="E122" s="107" t="s">
        <v>31</v>
      </c>
      <c r="F122" s="103">
        <v>130593</v>
      </c>
      <c r="G122" s="103">
        <v>136999.23699999999</v>
      </c>
      <c r="H122" s="103">
        <v>136999.23699999999</v>
      </c>
      <c r="I122" s="103">
        <v>136999.23699999999</v>
      </c>
      <c r="J122" s="103">
        <v>136999.23699999999</v>
      </c>
      <c r="K122" s="104"/>
    </row>
    <row r="123" spans="1:11" s="3" customFormat="1" ht="131.25" customHeight="1" x14ac:dyDescent="0.25">
      <c r="A123" s="255" t="s">
        <v>210</v>
      </c>
      <c r="B123" s="256" t="s">
        <v>211</v>
      </c>
      <c r="C123" s="105" t="s">
        <v>212</v>
      </c>
      <c r="D123" s="106" t="s">
        <v>187</v>
      </c>
      <c r="E123" s="107" t="s">
        <v>67</v>
      </c>
      <c r="F123" s="103">
        <v>70</v>
      </c>
      <c r="G123" s="103">
        <v>45</v>
      </c>
      <c r="H123" s="103">
        <v>45</v>
      </c>
      <c r="I123" s="103">
        <v>45</v>
      </c>
      <c r="J123" s="103">
        <v>45</v>
      </c>
      <c r="K123" s="104"/>
    </row>
    <row r="124" spans="1:11" s="3" customFormat="1" ht="53.25" customHeight="1" x14ac:dyDescent="0.25">
      <c r="A124" s="255"/>
      <c r="B124" s="256"/>
      <c r="C124" s="105" t="s">
        <v>194</v>
      </c>
      <c r="D124" s="106" t="s">
        <v>296</v>
      </c>
      <c r="E124" s="107" t="s">
        <v>31</v>
      </c>
      <c r="F124" s="103">
        <v>21513</v>
      </c>
      <c r="G124" s="103">
        <f>15769.022+31.09</f>
        <v>15800.112000000001</v>
      </c>
      <c r="H124" s="103">
        <f>15769.022+31.09</f>
        <v>15800.112000000001</v>
      </c>
      <c r="I124" s="103">
        <f t="shared" ref="I124:J124" si="8">15769.022+31.09</f>
        <v>15800.112000000001</v>
      </c>
      <c r="J124" s="103">
        <f t="shared" si="8"/>
        <v>15800.112000000001</v>
      </c>
      <c r="K124" s="104"/>
    </row>
    <row r="125" spans="1:11" s="3" customFormat="1" ht="87" customHeight="1" x14ac:dyDescent="0.25">
      <c r="A125" s="255" t="s">
        <v>213</v>
      </c>
      <c r="B125" s="256" t="s">
        <v>214</v>
      </c>
      <c r="C125" s="105" t="s">
        <v>215</v>
      </c>
      <c r="D125" s="106" t="s">
        <v>187</v>
      </c>
      <c r="E125" s="107" t="s">
        <v>67</v>
      </c>
      <c r="F125" s="103">
        <v>176</v>
      </c>
      <c r="G125" s="103">
        <v>227</v>
      </c>
      <c r="H125" s="103">
        <v>227</v>
      </c>
      <c r="I125" s="103">
        <v>227</v>
      </c>
      <c r="J125" s="103">
        <v>227</v>
      </c>
      <c r="K125" s="104"/>
    </row>
    <row r="126" spans="1:11" s="3" customFormat="1" ht="53.25" customHeight="1" x14ac:dyDescent="0.25">
      <c r="A126" s="255"/>
      <c r="B126" s="256"/>
      <c r="C126" s="105" t="s">
        <v>194</v>
      </c>
      <c r="D126" s="106" t="s">
        <v>296</v>
      </c>
      <c r="E126" s="107" t="s">
        <v>31</v>
      </c>
      <c r="F126" s="103">
        <v>43059</v>
      </c>
      <c r="G126" s="103">
        <v>56558.849000000002</v>
      </c>
      <c r="H126" s="103">
        <v>56558.849000000002</v>
      </c>
      <c r="I126" s="103">
        <v>56558.849000000002</v>
      </c>
      <c r="J126" s="103">
        <v>56558.849000000002</v>
      </c>
      <c r="K126" s="104"/>
    </row>
    <row r="127" spans="1:11" s="3" customFormat="1" ht="53.25" customHeight="1" x14ac:dyDescent="0.25">
      <c r="A127" s="255" t="s">
        <v>216</v>
      </c>
      <c r="B127" s="256" t="s">
        <v>217</v>
      </c>
      <c r="C127" s="105" t="s">
        <v>218</v>
      </c>
      <c r="D127" s="106" t="s">
        <v>187</v>
      </c>
      <c r="E127" s="107" t="s">
        <v>67</v>
      </c>
      <c r="F127" s="103">
        <v>18</v>
      </c>
      <c r="G127" s="103">
        <v>15</v>
      </c>
      <c r="H127" s="103">
        <v>15</v>
      </c>
      <c r="I127" s="103">
        <v>15</v>
      </c>
      <c r="J127" s="103">
        <v>15</v>
      </c>
      <c r="K127" s="104"/>
    </row>
    <row r="128" spans="1:11" s="3" customFormat="1" ht="53.25" customHeight="1" x14ac:dyDescent="0.25">
      <c r="A128" s="255"/>
      <c r="B128" s="256"/>
      <c r="C128" s="105" t="s">
        <v>194</v>
      </c>
      <c r="D128" s="106" t="s">
        <v>296</v>
      </c>
      <c r="E128" s="107" t="s">
        <v>31</v>
      </c>
      <c r="F128" s="103">
        <v>2297</v>
      </c>
      <c r="G128" s="103">
        <v>1971.7349999999999</v>
      </c>
      <c r="H128" s="103">
        <v>1971.7349999999999</v>
      </c>
      <c r="I128" s="103">
        <v>1971.7349999999999</v>
      </c>
      <c r="J128" s="103">
        <v>1971.7349999999999</v>
      </c>
      <c r="K128" s="104"/>
    </row>
    <row r="129" spans="1:13" s="3" customFormat="1" ht="53.25" customHeight="1" x14ac:dyDescent="0.25">
      <c r="A129" s="255" t="s">
        <v>219</v>
      </c>
      <c r="B129" s="256" t="s">
        <v>220</v>
      </c>
      <c r="C129" s="105" t="s">
        <v>221</v>
      </c>
      <c r="D129" s="106" t="s">
        <v>187</v>
      </c>
      <c r="E129" s="107" t="s">
        <v>67</v>
      </c>
      <c r="F129" s="103">
        <v>118</v>
      </c>
      <c r="G129" s="103">
        <v>92</v>
      </c>
      <c r="H129" s="103">
        <v>92</v>
      </c>
      <c r="I129" s="103">
        <v>92</v>
      </c>
      <c r="J129" s="103">
        <v>92</v>
      </c>
      <c r="K129" s="104"/>
    </row>
    <row r="130" spans="1:13" s="3" customFormat="1" ht="53.25" customHeight="1" x14ac:dyDescent="0.25">
      <c r="A130" s="255"/>
      <c r="B130" s="256"/>
      <c r="C130" s="105" t="s">
        <v>194</v>
      </c>
      <c r="D130" s="106" t="s">
        <v>296</v>
      </c>
      <c r="E130" s="107" t="s">
        <v>31</v>
      </c>
      <c r="F130" s="103">
        <v>16153</v>
      </c>
      <c r="G130" s="103">
        <v>11879.648999999999</v>
      </c>
      <c r="H130" s="103">
        <v>11879.648999999999</v>
      </c>
      <c r="I130" s="103">
        <v>11879.648999999999</v>
      </c>
      <c r="J130" s="103">
        <v>11879.648999999999</v>
      </c>
      <c r="K130" s="104"/>
    </row>
    <row r="131" spans="1:13" s="3" customFormat="1" ht="66" customHeight="1" x14ac:dyDescent="0.25">
      <c r="A131" s="255" t="s">
        <v>222</v>
      </c>
      <c r="B131" s="256" t="s">
        <v>223</v>
      </c>
      <c r="C131" s="105" t="s">
        <v>224</v>
      </c>
      <c r="D131" s="106" t="s">
        <v>187</v>
      </c>
      <c r="E131" s="107" t="s">
        <v>67</v>
      </c>
      <c r="F131" s="103">
        <v>56</v>
      </c>
      <c r="G131" s="103">
        <v>70</v>
      </c>
      <c r="H131" s="103">
        <v>70</v>
      </c>
      <c r="I131" s="103">
        <v>70</v>
      </c>
      <c r="J131" s="103">
        <v>70</v>
      </c>
      <c r="K131" s="104"/>
    </row>
    <row r="132" spans="1:13" s="5" customFormat="1" ht="53.25" customHeight="1" x14ac:dyDescent="0.25">
      <c r="A132" s="255"/>
      <c r="B132" s="256"/>
      <c r="C132" s="105" t="s">
        <v>194</v>
      </c>
      <c r="D132" s="106" t="s">
        <v>296</v>
      </c>
      <c r="E132" s="107" t="s">
        <v>31</v>
      </c>
      <c r="F132" s="103">
        <v>10453</v>
      </c>
      <c r="G132" s="103">
        <v>13870.576999999999</v>
      </c>
      <c r="H132" s="103">
        <v>13870.576999999999</v>
      </c>
      <c r="I132" s="103">
        <v>13870.576999999999</v>
      </c>
      <c r="J132" s="103">
        <v>13870.576999999999</v>
      </c>
      <c r="K132" s="104"/>
    </row>
    <row r="133" spans="1:13" s="3" customFormat="1" ht="75" customHeight="1" x14ac:dyDescent="0.25">
      <c r="A133" s="255" t="s">
        <v>225</v>
      </c>
      <c r="B133" s="256" t="s">
        <v>226</v>
      </c>
      <c r="C133" s="105" t="s">
        <v>227</v>
      </c>
      <c r="D133" s="106" t="s">
        <v>187</v>
      </c>
      <c r="E133" s="107" t="s">
        <v>67</v>
      </c>
      <c r="F133" s="103">
        <v>26</v>
      </c>
      <c r="G133" s="103">
        <v>24</v>
      </c>
      <c r="H133" s="103">
        <v>24</v>
      </c>
      <c r="I133" s="103">
        <v>24</v>
      </c>
      <c r="J133" s="103">
        <v>24</v>
      </c>
      <c r="K133" s="104"/>
    </row>
    <row r="134" spans="1:13" s="5" customFormat="1" ht="53.25" customHeight="1" x14ac:dyDescent="0.25">
      <c r="A134" s="255"/>
      <c r="B134" s="256"/>
      <c r="C134" s="105" t="s">
        <v>194</v>
      </c>
      <c r="D134" s="106" t="s">
        <v>296</v>
      </c>
      <c r="E134" s="107" t="s">
        <v>31</v>
      </c>
      <c r="F134" s="103">
        <v>4529.66</v>
      </c>
      <c r="G134" s="103">
        <v>4139.9380000000001</v>
      </c>
      <c r="H134" s="103">
        <v>4139.9380000000001</v>
      </c>
      <c r="I134" s="103">
        <v>4139.9380000000001</v>
      </c>
      <c r="J134" s="103">
        <v>4139.9380000000001</v>
      </c>
      <c r="K134" s="104"/>
    </row>
    <row r="135" spans="1:13" s="3" customFormat="1" ht="53.25" customHeight="1" x14ac:dyDescent="0.25">
      <c r="A135" s="255" t="s">
        <v>228</v>
      </c>
      <c r="B135" s="256" t="s">
        <v>229</v>
      </c>
      <c r="C135" s="105" t="s">
        <v>230</v>
      </c>
      <c r="D135" s="106" t="s">
        <v>187</v>
      </c>
      <c r="E135" s="107" t="s">
        <v>67</v>
      </c>
      <c r="F135" s="103">
        <v>15</v>
      </c>
      <c r="G135" s="103">
        <v>15</v>
      </c>
      <c r="H135" s="103">
        <v>15</v>
      </c>
      <c r="I135" s="103">
        <v>15</v>
      </c>
      <c r="J135" s="103">
        <v>15</v>
      </c>
      <c r="K135" s="104"/>
    </row>
    <row r="136" spans="1:13" s="5" customFormat="1" ht="53.25" customHeight="1" x14ac:dyDescent="0.25">
      <c r="A136" s="255"/>
      <c r="B136" s="256"/>
      <c r="C136" s="105" t="s">
        <v>194</v>
      </c>
      <c r="D136" s="106" t="s">
        <v>296</v>
      </c>
      <c r="E136" s="107" t="s">
        <v>31</v>
      </c>
      <c r="F136" s="103">
        <v>2431</v>
      </c>
      <c r="G136" s="103">
        <v>2504.2950000000001</v>
      </c>
      <c r="H136" s="103">
        <v>2504.2950000000001</v>
      </c>
      <c r="I136" s="103">
        <v>2504.2950000000001</v>
      </c>
      <c r="J136" s="103">
        <v>2504.2950000000001</v>
      </c>
      <c r="K136" s="104"/>
    </row>
    <row r="137" spans="1:13" s="3" customFormat="1" ht="53.25" customHeight="1" x14ac:dyDescent="0.25">
      <c r="A137" s="255" t="s">
        <v>231</v>
      </c>
      <c r="B137" s="256" t="s">
        <v>232</v>
      </c>
      <c r="C137" s="105" t="s">
        <v>233</v>
      </c>
      <c r="D137" s="106" t="s">
        <v>187</v>
      </c>
      <c r="E137" s="107" t="s">
        <v>67</v>
      </c>
      <c r="F137" s="103">
        <v>35</v>
      </c>
      <c r="G137" s="103">
        <v>25</v>
      </c>
      <c r="H137" s="103">
        <v>25</v>
      </c>
      <c r="I137" s="103">
        <v>25</v>
      </c>
      <c r="J137" s="103">
        <v>25</v>
      </c>
      <c r="K137" s="104"/>
    </row>
    <row r="138" spans="1:13" s="5" customFormat="1" ht="53.25" customHeight="1" x14ac:dyDescent="0.25">
      <c r="A138" s="255"/>
      <c r="B138" s="256"/>
      <c r="C138" s="105" t="s">
        <v>194</v>
      </c>
      <c r="D138" s="106" t="s">
        <v>296</v>
      </c>
      <c r="E138" s="107" t="s">
        <v>31</v>
      </c>
      <c r="F138" s="103">
        <v>3215</v>
      </c>
      <c r="G138" s="103">
        <v>2365.4</v>
      </c>
      <c r="H138" s="103">
        <v>2365.4</v>
      </c>
      <c r="I138" s="103">
        <v>2365.4</v>
      </c>
      <c r="J138" s="103">
        <v>2365.4</v>
      </c>
      <c r="K138" s="104"/>
    </row>
    <row r="139" spans="1:13" s="3" customFormat="1" ht="53.25" customHeight="1" x14ac:dyDescent="0.25">
      <c r="A139" s="255" t="s">
        <v>234</v>
      </c>
      <c r="B139" s="256" t="s">
        <v>235</v>
      </c>
      <c r="C139" s="105" t="s">
        <v>236</v>
      </c>
      <c r="D139" s="106" t="s">
        <v>237</v>
      </c>
      <c r="E139" s="107" t="s">
        <v>43</v>
      </c>
      <c r="F139" s="103">
        <v>8766</v>
      </c>
      <c r="G139" s="103">
        <v>7562</v>
      </c>
      <c r="H139" s="103">
        <v>7583</v>
      </c>
      <c r="I139" s="103">
        <v>7583</v>
      </c>
      <c r="J139" s="103">
        <v>7583</v>
      </c>
      <c r="K139" s="104"/>
    </row>
    <row r="140" spans="1:13" s="5" customFormat="1" ht="53.25" customHeight="1" x14ac:dyDescent="0.25">
      <c r="A140" s="255"/>
      <c r="B140" s="256"/>
      <c r="C140" s="105" t="s">
        <v>30</v>
      </c>
      <c r="D140" s="106" t="s">
        <v>296</v>
      </c>
      <c r="E140" s="107" t="s">
        <v>31</v>
      </c>
      <c r="F140" s="103">
        <v>78853</v>
      </c>
      <c r="G140" s="103">
        <f>67461.297+1863.9289</f>
        <v>69325.225900000005</v>
      </c>
      <c r="H140" s="103">
        <v>69517.745040954789</v>
      </c>
      <c r="I140" s="103">
        <v>69517.745040954789</v>
      </c>
      <c r="J140" s="103">
        <v>82670.271479999996</v>
      </c>
      <c r="K140" s="104"/>
    </row>
    <row r="141" spans="1:13" s="3" customFormat="1" ht="53.25" customHeight="1" x14ac:dyDescent="0.25">
      <c r="A141" s="255" t="s">
        <v>238</v>
      </c>
      <c r="B141" s="256" t="s">
        <v>239</v>
      </c>
      <c r="C141" s="105" t="s">
        <v>240</v>
      </c>
      <c r="D141" s="106" t="s">
        <v>241</v>
      </c>
      <c r="E141" s="107" t="s">
        <v>43</v>
      </c>
      <c r="F141" s="103">
        <v>21927</v>
      </c>
      <c r="G141" s="103">
        <v>21919</v>
      </c>
      <c r="H141" s="103">
        <v>21919</v>
      </c>
      <c r="I141" s="103">
        <v>21919</v>
      </c>
      <c r="J141" s="103">
        <v>21919</v>
      </c>
      <c r="K141" s="104"/>
    </row>
    <row r="142" spans="1:13" s="5" customFormat="1" ht="53.25" customHeight="1" x14ac:dyDescent="0.25">
      <c r="A142" s="255"/>
      <c r="B142" s="256"/>
      <c r="C142" s="105" t="s">
        <v>30</v>
      </c>
      <c r="D142" s="106" t="s">
        <v>296</v>
      </c>
      <c r="E142" s="107" t="s">
        <v>31</v>
      </c>
      <c r="F142" s="103">
        <v>28717</v>
      </c>
      <c r="G142" s="103">
        <f>21336.73+1863.9289</f>
        <v>23200.658899999999</v>
      </c>
      <c r="H142" s="103">
        <f>21336.73+1863.9289</f>
        <v>23200.658899999999</v>
      </c>
      <c r="I142" s="103">
        <f t="shared" ref="I142" si="9">21336.73+1863.9289</f>
        <v>23200.658899999999</v>
      </c>
      <c r="J142" s="103">
        <f>21336.73+1863.9289+6145.2</f>
        <v>29345.858899999999</v>
      </c>
      <c r="K142" s="113"/>
      <c r="L142" s="9"/>
      <c r="M142" s="6"/>
    </row>
    <row r="143" spans="1:13" s="3" customFormat="1" ht="53.25" customHeight="1" x14ac:dyDescent="0.25">
      <c r="A143" s="255" t="s">
        <v>242</v>
      </c>
      <c r="B143" s="256" t="s">
        <v>243</v>
      </c>
      <c r="C143" s="105" t="s">
        <v>244</v>
      </c>
      <c r="D143" s="106" t="s">
        <v>245</v>
      </c>
      <c r="E143" s="107" t="s">
        <v>12</v>
      </c>
      <c r="F143" s="103">
        <v>1616</v>
      </c>
      <c r="G143" s="103">
        <v>1400</v>
      </c>
      <c r="H143" s="103">
        <v>1400</v>
      </c>
      <c r="I143" s="103">
        <v>1400</v>
      </c>
      <c r="J143" s="103">
        <v>1400</v>
      </c>
      <c r="K143" s="104"/>
    </row>
    <row r="144" spans="1:13" s="5" customFormat="1" ht="53.25" customHeight="1" x14ac:dyDescent="0.25">
      <c r="A144" s="255"/>
      <c r="B144" s="256"/>
      <c r="C144" s="105" t="s">
        <v>246</v>
      </c>
      <c r="D144" s="106" t="s">
        <v>296</v>
      </c>
      <c r="E144" s="107" t="s">
        <v>31</v>
      </c>
      <c r="F144" s="103">
        <v>933</v>
      </c>
      <c r="G144" s="103">
        <f>1130.96718</f>
        <v>1130.9671800000001</v>
      </c>
      <c r="H144" s="103">
        <v>1297.76901</v>
      </c>
      <c r="I144" s="103">
        <v>1297.76901</v>
      </c>
      <c r="J144" s="103">
        <v>1297.76901</v>
      </c>
      <c r="K144" s="104"/>
    </row>
    <row r="145" spans="1:11" s="3" customFormat="1" ht="53.25" customHeight="1" x14ac:dyDescent="0.25">
      <c r="A145" s="255" t="s">
        <v>247</v>
      </c>
      <c r="B145" s="256" t="s">
        <v>248</v>
      </c>
      <c r="C145" s="105" t="s">
        <v>249</v>
      </c>
      <c r="D145" s="106" t="s">
        <v>250</v>
      </c>
      <c r="E145" s="107" t="s">
        <v>73</v>
      </c>
      <c r="F145" s="103">
        <v>271</v>
      </c>
      <c r="G145" s="103">
        <v>220</v>
      </c>
      <c r="H145" s="103">
        <v>220</v>
      </c>
      <c r="I145" s="103">
        <v>220</v>
      </c>
      <c r="J145" s="103">
        <v>220</v>
      </c>
      <c r="K145" s="104"/>
    </row>
    <row r="146" spans="1:11" s="5" customFormat="1" ht="53.25" customHeight="1" x14ac:dyDescent="0.25">
      <c r="A146" s="255"/>
      <c r="B146" s="256"/>
      <c r="C146" s="105" t="s">
        <v>30</v>
      </c>
      <c r="D146" s="106" t="s">
        <v>296</v>
      </c>
      <c r="E146" s="107" t="s">
        <v>31</v>
      </c>
      <c r="F146" s="103">
        <v>6341</v>
      </c>
      <c r="G146" s="103">
        <f>6341.36447+1863.9289</f>
        <v>8205.2933700000012</v>
      </c>
      <c r="H146" s="103">
        <v>7766.0898399999996</v>
      </c>
      <c r="I146" s="103">
        <v>7766.0898399999996</v>
      </c>
      <c r="J146" s="103">
        <v>7766.0898399999996</v>
      </c>
      <c r="K146" s="104"/>
    </row>
    <row r="147" spans="1:11" s="3" customFormat="1" ht="53.25" customHeight="1" x14ac:dyDescent="0.25">
      <c r="A147" s="255" t="s">
        <v>251</v>
      </c>
      <c r="B147" s="256" t="s">
        <v>252</v>
      </c>
      <c r="C147" s="105" t="s">
        <v>253</v>
      </c>
      <c r="D147" s="106" t="s">
        <v>250</v>
      </c>
      <c r="E147" s="107" t="s">
        <v>73</v>
      </c>
      <c r="F147" s="103">
        <v>210810</v>
      </c>
      <c r="G147" s="103">
        <v>210000</v>
      </c>
      <c r="H147" s="103">
        <v>210000</v>
      </c>
      <c r="I147" s="103">
        <v>210000</v>
      </c>
      <c r="J147" s="103">
        <v>210000</v>
      </c>
      <c r="K147" s="104"/>
    </row>
    <row r="148" spans="1:11" s="5" customFormat="1" ht="53.25" customHeight="1" x14ac:dyDescent="0.25">
      <c r="A148" s="255"/>
      <c r="B148" s="256"/>
      <c r="C148" s="105" t="s">
        <v>30</v>
      </c>
      <c r="D148" s="106" t="s">
        <v>296</v>
      </c>
      <c r="E148" s="107" t="s">
        <v>31</v>
      </c>
      <c r="F148" s="103">
        <v>74037.7</v>
      </c>
      <c r="G148" s="103">
        <f>74037.7+1863.9289</f>
        <v>75901.628899999996</v>
      </c>
      <c r="H148" s="103">
        <f>74037.7+1863.9289</f>
        <v>75901.628899999996</v>
      </c>
      <c r="I148" s="103">
        <f t="shared" ref="I148:J148" si="10">74037.7+1863.9289</f>
        <v>75901.628899999996</v>
      </c>
      <c r="J148" s="103">
        <f t="shared" si="10"/>
        <v>75901.628899999996</v>
      </c>
      <c r="K148" s="104"/>
    </row>
    <row r="149" spans="1:11" s="3" customFormat="1" ht="53.25" customHeight="1" x14ac:dyDescent="0.25">
      <c r="A149" s="255" t="s">
        <v>254</v>
      </c>
      <c r="B149" s="256" t="s">
        <v>255</v>
      </c>
      <c r="C149" s="105" t="s">
        <v>256</v>
      </c>
      <c r="D149" s="106" t="s">
        <v>250</v>
      </c>
      <c r="E149" s="107" t="s">
        <v>73</v>
      </c>
      <c r="F149" s="103">
        <v>8563</v>
      </c>
      <c r="G149" s="103">
        <v>8150</v>
      </c>
      <c r="H149" s="103">
        <v>8450</v>
      </c>
      <c r="I149" s="103">
        <v>8450</v>
      </c>
      <c r="J149" s="103">
        <v>8450</v>
      </c>
      <c r="K149" s="104"/>
    </row>
    <row r="150" spans="1:11" s="5" customFormat="1" ht="53.25" customHeight="1" x14ac:dyDescent="0.25">
      <c r="A150" s="255"/>
      <c r="B150" s="256"/>
      <c r="C150" s="105" t="s">
        <v>30</v>
      </c>
      <c r="D150" s="106" t="s">
        <v>296</v>
      </c>
      <c r="E150" s="107" t="s">
        <v>31</v>
      </c>
      <c r="F150" s="103">
        <v>101119</v>
      </c>
      <c r="G150" s="103">
        <f>101118.878+1863.9289</f>
        <v>102982.8069</v>
      </c>
      <c r="H150" s="103">
        <v>68997.163159999996</v>
      </c>
      <c r="I150" s="103">
        <v>68997.163159999996</v>
      </c>
      <c r="J150" s="103">
        <v>68997.163159999996</v>
      </c>
      <c r="K150" s="104"/>
    </row>
    <row r="151" spans="1:11" s="3" customFormat="1" ht="53.25" customHeight="1" x14ac:dyDescent="0.25">
      <c r="A151" s="255" t="s">
        <v>257</v>
      </c>
      <c r="B151" s="256" t="s">
        <v>258</v>
      </c>
      <c r="C151" s="105" t="s">
        <v>259</v>
      </c>
      <c r="D151" s="106" t="s">
        <v>250</v>
      </c>
      <c r="E151" s="107" t="s">
        <v>73</v>
      </c>
      <c r="F151" s="103">
        <v>12459</v>
      </c>
      <c r="G151" s="103">
        <v>12100</v>
      </c>
      <c r="H151" s="103">
        <v>12100</v>
      </c>
      <c r="I151" s="103">
        <v>12100</v>
      </c>
      <c r="J151" s="103">
        <v>12100</v>
      </c>
      <c r="K151" s="104"/>
    </row>
    <row r="152" spans="1:11" s="5" customFormat="1" ht="53.25" customHeight="1" x14ac:dyDescent="0.25">
      <c r="A152" s="255"/>
      <c r="B152" s="256"/>
      <c r="C152" s="105" t="s">
        <v>30</v>
      </c>
      <c r="D152" s="106" t="s">
        <v>296</v>
      </c>
      <c r="E152" s="107" t="s">
        <v>31</v>
      </c>
      <c r="F152" s="103">
        <v>15907.48</v>
      </c>
      <c r="G152" s="103">
        <f>15578.2399399999+1863.9289</f>
        <v>17442.1688399999</v>
      </c>
      <c r="H152" s="103">
        <f>15578.2399399999+1863.9289</f>
        <v>17442.1688399999</v>
      </c>
      <c r="I152" s="103">
        <f t="shared" ref="I152:J152" si="11">15578.2399399999+1863.9289</f>
        <v>17442.1688399999</v>
      </c>
      <c r="J152" s="103">
        <f t="shared" si="11"/>
        <v>17442.1688399999</v>
      </c>
      <c r="K152" s="104"/>
    </row>
    <row r="153" spans="1:11" s="3" customFormat="1" ht="53.25" customHeight="1" x14ac:dyDescent="0.25">
      <c r="A153" s="255" t="s">
        <v>260</v>
      </c>
      <c r="B153" s="256" t="s">
        <v>261</v>
      </c>
      <c r="C153" s="105" t="s">
        <v>262</v>
      </c>
      <c r="D153" s="106" t="s">
        <v>263</v>
      </c>
      <c r="E153" s="107" t="s">
        <v>73</v>
      </c>
      <c r="F153" s="103">
        <v>2137</v>
      </c>
      <c r="G153" s="103">
        <v>1780</v>
      </c>
      <c r="H153" s="103">
        <v>1780</v>
      </c>
      <c r="I153" s="103">
        <v>1780</v>
      </c>
      <c r="J153" s="103">
        <v>1780</v>
      </c>
      <c r="K153" s="104"/>
    </row>
    <row r="154" spans="1:11" s="5" customFormat="1" ht="53.25" customHeight="1" x14ac:dyDescent="0.25">
      <c r="A154" s="255"/>
      <c r="B154" s="256"/>
      <c r="C154" s="105" t="s">
        <v>30</v>
      </c>
      <c r="D154" s="106" t="s">
        <v>296</v>
      </c>
      <c r="E154" s="107" t="s">
        <v>31</v>
      </c>
      <c r="F154" s="103">
        <v>14399</v>
      </c>
      <c r="G154" s="103">
        <f>14398.7095+1863.9289</f>
        <v>16262.638400000002</v>
      </c>
      <c r="H154" s="103">
        <f>14398.7095+1863.9289</f>
        <v>16262.638400000002</v>
      </c>
      <c r="I154" s="103">
        <f t="shared" ref="I154:J154" si="12">14398.7095+1863.9289</f>
        <v>16262.638400000002</v>
      </c>
      <c r="J154" s="103">
        <f t="shared" si="12"/>
        <v>16262.638400000002</v>
      </c>
      <c r="K154" s="104"/>
    </row>
    <row r="155" spans="1:11" s="3" customFormat="1" ht="53.25" customHeight="1" x14ac:dyDescent="0.25">
      <c r="A155" s="255" t="s">
        <v>264</v>
      </c>
      <c r="B155" s="256" t="s">
        <v>265</v>
      </c>
      <c r="C155" s="105" t="s">
        <v>266</v>
      </c>
      <c r="D155" s="106" t="s">
        <v>267</v>
      </c>
      <c r="E155" s="107" t="s">
        <v>73</v>
      </c>
      <c r="F155" s="103">
        <v>29239</v>
      </c>
      <c r="G155" s="103">
        <v>21293</v>
      </c>
      <c r="H155" s="103">
        <v>21293</v>
      </c>
      <c r="I155" s="103">
        <v>22901</v>
      </c>
      <c r="J155" s="103">
        <v>23505</v>
      </c>
      <c r="K155" s="104"/>
    </row>
    <row r="156" spans="1:11" s="5" customFormat="1" ht="53.25" customHeight="1" x14ac:dyDescent="0.25">
      <c r="A156" s="255"/>
      <c r="B156" s="256"/>
      <c r="C156" s="105" t="s">
        <v>268</v>
      </c>
      <c r="D156" s="106" t="s">
        <v>296</v>
      </c>
      <c r="E156" s="107" t="s">
        <v>31</v>
      </c>
      <c r="F156" s="103">
        <v>380229.43</v>
      </c>
      <c r="G156" s="103">
        <f>341824.42718+23824.83</f>
        <v>365649.25718000002</v>
      </c>
      <c r="H156" s="103">
        <f>366689.07429+22046.28</f>
        <v>388735.35429000005</v>
      </c>
      <c r="I156" s="103">
        <v>418097.47429000004</v>
      </c>
      <c r="J156" s="103">
        <v>429112.84429000004</v>
      </c>
      <c r="K156" s="111"/>
    </row>
    <row r="157" spans="1:11" s="3" customFormat="1" ht="53.25" customHeight="1" x14ac:dyDescent="0.25">
      <c r="A157" s="255" t="s">
        <v>269</v>
      </c>
      <c r="B157" s="256" t="s">
        <v>270</v>
      </c>
      <c r="C157" s="105" t="s">
        <v>271</v>
      </c>
      <c r="D157" s="106" t="s">
        <v>272</v>
      </c>
      <c r="E157" s="107" t="s">
        <v>39</v>
      </c>
      <c r="F157" s="103">
        <v>96</v>
      </c>
      <c r="G157" s="103">
        <v>96</v>
      </c>
      <c r="H157" s="103">
        <v>96</v>
      </c>
      <c r="I157" s="103">
        <v>96</v>
      </c>
      <c r="J157" s="103">
        <v>96</v>
      </c>
      <c r="K157" s="104"/>
    </row>
    <row r="158" spans="1:11" s="5" customFormat="1" ht="53.25" customHeight="1" x14ac:dyDescent="0.25">
      <c r="A158" s="255"/>
      <c r="B158" s="256"/>
      <c r="C158" s="105" t="s">
        <v>30</v>
      </c>
      <c r="D158" s="106" t="s">
        <v>296</v>
      </c>
      <c r="E158" s="107" t="s">
        <v>31</v>
      </c>
      <c r="F158" s="103">
        <v>2941</v>
      </c>
      <c r="G158" s="114">
        <f>56523.50443+1863.9289</f>
        <v>58387.43333</v>
      </c>
      <c r="H158" s="103">
        <v>53139.621829999996</v>
      </c>
      <c r="I158" s="103">
        <v>53139.621829999996</v>
      </c>
      <c r="J158" s="103">
        <v>53139.621829999996</v>
      </c>
      <c r="K158" s="104"/>
    </row>
    <row r="159" spans="1:11" s="3" customFormat="1" ht="53.25" customHeight="1" x14ac:dyDescent="0.25">
      <c r="A159" s="255" t="s">
        <v>273</v>
      </c>
      <c r="B159" s="256" t="s">
        <v>274</v>
      </c>
      <c r="C159" s="105" t="s">
        <v>275</v>
      </c>
      <c r="D159" s="106" t="s">
        <v>276</v>
      </c>
      <c r="E159" s="107" t="s">
        <v>43</v>
      </c>
      <c r="F159" s="103">
        <v>1107500</v>
      </c>
      <c r="G159" s="103">
        <v>1100000</v>
      </c>
      <c r="H159" s="103">
        <v>1100000</v>
      </c>
      <c r="I159" s="103">
        <v>1100000</v>
      </c>
      <c r="J159" s="103">
        <v>1100000</v>
      </c>
      <c r="K159" s="104"/>
    </row>
    <row r="160" spans="1:11" s="5" customFormat="1" ht="53.25" customHeight="1" x14ac:dyDescent="0.25">
      <c r="A160" s="255"/>
      <c r="B160" s="256"/>
      <c r="C160" s="105" t="s">
        <v>30</v>
      </c>
      <c r="D160" s="106" t="s">
        <v>296</v>
      </c>
      <c r="E160" s="107" t="s">
        <v>31</v>
      </c>
      <c r="F160" s="103">
        <v>10801.21</v>
      </c>
      <c r="G160" s="103">
        <f>11395.84797+1863.9289</f>
        <v>13259.776870000002</v>
      </c>
      <c r="H160" s="103">
        <f>11395.84797+1863.9289</f>
        <v>13259.776870000002</v>
      </c>
      <c r="I160" s="103">
        <f t="shared" ref="I160" si="13">11395.84797+1863.9289</f>
        <v>13259.776870000002</v>
      </c>
      <c r="J160" s="103">
        <v>16193.019</v>
      </c>
      <c r="K160" s="104"/>
    </row>
    <row r="161" spans="1:11" s="3" customFormat="1" ht="53.25" customHeight="1" x14ac:dyDescent="0.25">
      <c r="A161" s="255" t="s">
        <v>277</v>
      </c>
      <c r="B161" s="256" t="s">
        <v>278</v>
      </c>
      <c r="C161" s="105" t="s">
        <v>279</v>
      </c>
      <c r="D161" s="106" t="s">
        <v>280</v>
      </c>
      <c r="E161" s="107" t="s">
        <v>73</v>
      </c>
      <c r="F161" s="103">
        <v>58000</v>
      </c>
      <c r="G161" s="103">
        <v>47500</v>
      </c>
      <c r="H161" s="103">
        <v>47500</v>
      </c>
      <c r="I161" s="103">
        <v>52068</v>
      </c>
      <c r="J161" s="103">
        <v>55168</v>
      </c>
      <c r="K161" s="104"/>
    </row>
    <row r="162" spans="1:11" s="5" customFormat="1" ht="53.25" customHeight="1" x14ac:dyDescent="0.25">
      <c r="A162" s="255"/>
      <c r="B162" s="256"/>
      <c r="C162" s="105" t="s">
        <v>281</v>
      </c>
      <c r="D162" s="106" t="s">
        <v>296</v>
      </c>
      <c r="E162" s="107" t="s">
        <v>31</v>
      </c>
      <c r="F162" s="103">
        <v>9348.85</v>
      </c>
      <c r="G162" s="103">
        <f>12322.3381+2.24</f>
        <v>12324.578100000001</v>
      </c>
      <c r="H162" s="103">
        <f>12705.663-547.74</f>
        <v>12157.923000000001</v>
      </c>
      <c r="I162" s="103">
        <v>13327.183000000001</v>
      </c>
      <c r="J162" s="103">
        <v>14120.473</v>
      </c>
      <c r="K162" s="111"/>
    </row>
    <row r="163" spans="1:11" s="3" customFormat="1" ht="53.25" customHeight="1" x14ac:dyDescent="0.25">
      <c r="A163" s="255" t="s">
        <v>282</v>
      </c>
      <c r="B163" s="256" t="s">
        <v>283</v>
      </c>
      <c r="C163" s="105" t="s">
        <v>284</v>
      </c>
      <c r="D163" s="106" t="s">
        <v>119</v>
      </c>
      <c r="E163" s="107" t="s">
        <v>73</v>
      </c>
      <c r="F163" s="103">
        <v>370902</v>
      </c>
      <c r="G163" s="103">
        <v>400000</v>
      </c>
      <c r="H163" s="103">
        <v>382000</v>
      </c>
      <c r="I163" s="103">
        <v>382000</v>
      </c>
      <c r="J163" s="103">
        <v>382000</v>
      </c>
      <c r="K163" s="104"/>
    </row>
    <row r="164" spans="1:11" s="5" customFormat="1" ht="53.25" customHeight="1" x14ac:dyDescent="0.25">
      <c r="A164" s="255"/>
      <c r="B164" s="256"/>
      <c r="C164" s="105" t="s">
        <v>74</v>
      </c>
      <c r="D164" s="106" t="s">
        <v>296</v>
      </c>
      <c r="E164" s="107" t="s">
        <v>31</v>
      </c>
      <c r="F164" s="103">
        <v>22777.759999999998</v>
      </c>
      <c r="G164" s="103">
        <f>28039.77+3487.3536</f>
        <v>31527.123599999999</v>
      </c>
      <c r="H164" s="103">
        <v>30108.403038</v>
      </c>
      <c r="I164" s="103">
        <v>30108.403038</v>
      </c>
      <c r="J164" s="103">
        <v>30108.403038</v>
      </c>
      <c r="K164" s="104"/>
    </row>
    <row r="165" spans="1:11" s="3" customFormat="1" ht="53.25" customHeight="1" x14ac:dyDescent="0.25">
      <c r="A165" s="255" t="s">
        <v>348</v>
      </c>
      <c r="B165" s="256" t="s">
        <v>176</v>
      </c>
      <c r="C165" s="105" t="s">
        <v>285</v>
      </c>
      <c r="D165" s="106" t="s">
        <v>80</v>
      </c>
      <c r="E165" s="107" t="s">
        <v>73</v>
      </c>
      <c r="F165" s="103">
        <v>0</v>
      </c>
      <c r="G165" s="103">
        <v>1300</v>
      </c>
      <c r="H165" s="103">
        <v>324</v>
      </c>
      <c r="I165" s="103">
        <v>324</v>
      </c>
      <c r="J165" s="103">
        <v>324</v>
      </c>
      <c r="K165" s="104"/>
    </row>
    <row r="166" spans="1:11" s="5" customFormat="1" ht="53.25" customHeight="1" x14ac:dyDescent="0.25">
      <c r="A166" s="255"/>
      <c r="B166" s="256"/>
      <c r="C166" s="105" t="s">
        <v>84</v>
      </c>
      <c r="D166" s="106" t="s">
        <v>296</v>
      </c>
      <c r="E166" s="107" t="s">
        <v>31</v>
      </c>
      <c r="F166" s="103">
        <v>0</v>
      </c>
      <c r="G166" s="103">
        <f>11985.1+825.189+412.6</f>
        <v>13222.889000000001</v>
      </c>
      <c r="H166" s="103">
        <v>3092.7</v>
      </c>
      <c r="I166" s="103">
        <v>3092.7</v>
      </c>
      <c r="J166" s="103">
        <v>3092.7</v>
      </c>
      <c r="K166" s="104"/>
    </row>
    <row r="167" spans="1:11" s="3" customFormat="1" ht="53.25" customHeight="1" x14ac:dyDescent="0.25">
      <c r="A167" s="255" t="s">
        <v>349</v>
      </c>
      <c r="B167" s="256" t="s">
        <v>286</v>
      </c>
      <c r="C167" s="105" t="s">
        <v>287</v>
      </c>
      <c r="D167" s="106" t="s">
        <v>80</v>
      </c>
      <c r="E167" s="107" t="s">
        <v>73</v>
      </c>
      <c r="F167" s="103">
        <v>0</v>
      </c>
      <c r="G167" s="103">
        <v>260</v>
      </c>
      <c r="H167" s="103">
        <v>852</v>
      </c>
      <c r="I167" s="103">
        <v>852</v>
      </c>
      <c r="J167" s="103">
        <v>852</v>
      </c>
      <c r="K167" s="104"/>
    </row>
    <row r="168" spans="1:11" s="5" customFormat="1" ht="53.25" customHeight="1" x14ac:dyDescent="0.25">
      <c r="A168" s="255"/>
      <c r="B168" s="256"/>
      <c r="C168" s="105" t="s">
        <v>74</v>
      </c>
      <c r="D168" s="106" t="s">
        <v>296</v>
      </c>
      <c r="E168" s="107" t="s">
        <v>31</v>
      </c>
      <c r="F168" s="103">
        <v>0</v>
      </c>
      <c r="G168" s="103">
        <f>4724.1233+825.16</f>
        <v>5549.2833000000001</v>
      </c>
      <c r="H168" s="103">
        <v>13280.589099999999</v>
      </c>
      <c r="I168" s="103">
        <v>13280.589099999999</v>
      </c>
      <c r="J168" s="103">
        <v>13280.589099999999</v>
      </c>
      <c r="K168" s="104"/>
    </row>
    <row r="169" spans="1:11" s="3" customFormat="1" ht="53.25" customHeight="1" x14ac:dyDescent="0.25">
      <c r="A169" s="255" t="s">
        <v>351</v>
      </c>
      <c r="B169" s="256" t="s">
        <v>288</v>
      </c>
      <c r="C169" s="105" t="s">
        <v>289</v>
      </c>
      <c r="D169" s="106" t="s">
        <v>290</v>
      </c>
      <c r="E169" s="107" t="s">
        <v>291</v>
      </c>
      <c r="F169" s="103">
        <v>0</v>
      </c>
      <c r="G169" s="103">
        <v>10800</v>
      </c>
      <c r="H169" s="103">
        <v>9397</v>
      </c>
      <c r="I169" s="103">
        <v>9397</v>
      </c>
      <c r="J169" s="103">
        <v>9397</v>
      </c>
      <c r="K169" s="104"/>
    </row>
    <row r="170" spans="1:11" s="5" customFormat="1" ht="53.25" customHeight="1" x14ac:dyDescent="0.25">
      <c r="A170" s="255"/>
      <c r="B170" s="256"/>
      <c r="C170" s="105" t="s">
        <v>74</v>
      </c>
      <c r="D170" s="106" t="s">
        <v>296</v>
      </c>
      <c r="E170" s="107" t="s">
        <v>31</v>
      </c>
      <c r="F170" s="103">
        <v>0</v>
      </c>
      <c r="G170" s="103">
        <f>5622.624+3487.3536</f>
        <v>9109.9776000000002</v>
      </c>
      <c r="H170" s="103">
        <v>11587.440700000001</v>
      </c>
      <c r="I170" s="103">
        <v>11587.440700000001</v>
      </c>
      <c r="J170" s="103">
        <v>11587.440700000001</v>
      </c>
      <c r="K170" s="104"/>
    </row>
    <row r="171" spans="1:11" s="3" customFormat="1" ht="53.25" customHeight="1" x14ac:dyDescent="0.25">
      <c r="A171" s="255" t="s">
        <v>350</v>
      </c>
      <c r="B171" s="256" t="s">
        <v>292</v>
      </c>
      <c r="C171" s="105" t="s">
        <v>293</v>
      </c>
      <c r="D171" s="106" t="s">
        <v>72</v>
      </c>
      <c r="E171" s="107" t="s">
        <v>73</v>
      </c>
      <c r="F171" s="103">
        <v>0</v>
      </c>
      <c r="G171" s="103">
        <v>0</v>
      </c>
      <c r="H171" s="103">
        <v>0</v>
      </c>
      <c r="I171" s="103">
        <v>0</v>
      </c>
      <c r="J171" s="103">
        <v>0</v>
      </c>
      <c r="K171" s="104"/>
    </row>
    <row r="172" spans="1:11" s="5" customFormat="1" ht="53.25" customHeight="1" x14ac:dyDescent="0.25">
      <c r="A172" s="255"/>
      <c r="B172" s="256"/>
      <c r="C172" s="105" t="s">
        <v>74</v>
      </c>
      <c r="D172" s="106" t="s">
        <v>296</v>
      </c>
      <c r="E172" s="107" t="s">
        <v>31</v>
      </c>
      <c r="F172" s="103">
        <v>47283.3</v>
      </c>
      <c r="G172" s="103">
        <v>0</v>
      </c>
      <c r="H172" s="103">
        <v>0</v>
      </c>
      <c r="I172" s="103">
        <v>0</v>
      </c>
      <c r="J172" s="103">
        <v>0</v>
      </c>
      <c r="K172" s="104"/>
    </row>
    <row r="173" spans="1:11" s="102" customFormat="1" ht="21" customHeight="1" x14ac:dyDescent="0.25">
      <c r="A173" s="171"/>
      <c r="B173" s="260" t="s">
        <v>295</v>
      </c>
      <c r="C173" s="260"/>
      <c r="D173" s="260"/>
      <c r="E173" s="99" t="s">
        <v>31</v>
      </c>
      <c r="F173" s="100">
        <v>5933684.0077999979</v>
      </c>
      <c r="G173" s="100">
        <v>5687561.0223609982</v>
      </c>
      <c r="H173" s="100">
        <v>6517927.3983734371</v>
      </c>
      <c r="I173" s="100">
        <v>6495730.0222792709</v>
      </c>
      <c r="J173" s="100">
        <v>6735401.7760160239</v>
      </c>
      <c r="K173" s="101"/>
    </row>
    <row r="174" spans="1:11" s="92" customFormat="1" ht="36" customHeight="1" x14ac:dyDescent="0.25">
      <c r="A174" s="170" t="s">
        <v>294</v>
      </c>
      <c r="B174" s="257" t="s">
        <v>297</v>
      </c>
      <c r="C174" s="257"/>
      <c r="D174" s="257"/>
      <c r="E174" s="257"/>
      <c r="F174" s="257"/>
      <c r="G174" s="257"/>
      <c r="H174" s="257"/>
      <c r="I174" s="257"/>
      <c r="J174" s="257"/>
      <c r="K174" s="91"/>
    </row>
    <row r="175" spans="1:11" s="11" customFormat="1" ht="33.75" customHeight="1" x14ac:dyDescent="0.2">
      <c r="A175" s="251" t="s">
        <v>697</v>
      </c>
      <c r="B175" s="258" t="s">
        <v>298</v>
      </c>
      <c r="C175" s="30" t="s">
        <v>299</v>
      </c>
      <c r="D175" s="39" t="s">
        <v>300</v>
      </c>
      <c r="E175" s="29" t="s">
        <v>301</v>
      </c>
      <c r="F175" s="31">
        <v>85</v>
      </c>
      <c r="G175" s="31">
        <v>85</v>
      </c>
      <c r="H175" s="31">
        <v>85</v>
      </c>
      <c r="I175" s="31">
        <v>85</v>
      </c>
      <c r="J175" s="31">
        <v>85</v>
      </c>
      <c r="K175" s="66"/>
    </row>
    <row r="176" spans="1:11" s="11" customFormat="1" ht="65.25" customHeight="1" x14ac:dyDescent="0.2">
      <c r="A176" s="251"/>
      <c r="B176" s="258"/>
      <c r="C176" s="30" t="s">
        <v>327</v>
      </c>
      <c r="D176" s="39" t="s">
        <v>302</v>
      </c>
      <c r="E176" s="29" t="s">
        <v>303</v>
      </c>
      <c r="F176" s="31">
        <v>22239.67</v>
      </c>
      <c r="G176" s="31">
        <v>25781.29</v>
      </c>
      <c r="H176" s="31">
        <v>27719.84</v>
      </c>
      <c r="I176" s="31">
        <v>29453.87</v>
      </c>
      <c r="J176" s="31">
        <f>31103.287+81.789</f>
        <v>31185.076000000001</v>
      </c>
      <c r="K176" s="66"/>
    </row>
    <row r="177" spans="1:11" s="11" customFormat="1" ht="33.75" customHeight="1" x14ac:dyDescent="0.2">
      <c r="A177" s="251"/>
      <c r="B177" s="258"/>
      <c r="C177" s="30" t="s">
        <v>304</v>
      </c>
      <c r="D177" s="39" t="s">
        <v>300</v>
      </c>
      <c r="E177" s="29" t="s">
        <v>301</v>
      </c>
      <c r="F177" s="31">
        <v>120</v>
      </c>
      <c r="G177" s="31">
        <v>120</v>
      </c>
      <c r="H177" s="31">
        <v>120</v>
      </c>
      <c r="I177" s="31">
        <v>134</v>
      </c>
      <c r="J177" s="31">
        <v>134</v>
      </c>
      <c r="K177" s="66"/>
    </row>
    <row r="178" spans="1:11" s="11" customFormat="1" ht="61.5" customHeight="1" x14ac:dyDescent="0.2">
      <c r="A178" s="251"/>
      <c r="B178" s="258"/>
      <c r="C178" s="30" t="s">
        <v>328</v>
      </c>
      <c r="D178" s="39" t="s">
        <v>302</v>
      </c>
      <c r="E178" s="29" t="s">
        <v>303</v>
      </c>
      <c r="F178" s="31">
        <v>83627.130999999994</v>
      </c>
      <c r="G178" s="31">
        <v>86253.148000000001</v>
      </c>
      <c r="H178" s="31">
        <v>89063.294999999998</v>
      </c>
      <c r="I178" s="31">
        <v>91426.202000000005</v>
      </c>
      <c r="J178" s="31">
        <v>94583.956000000006</v>
      </c>
      <c r="K178" s="66"/>
    </row>
    <row r="179" spans="1:11" s="11" customFormat="1" ht="51.75" customHeight="1" x14ac:dyDescent="0.2">
      <c r="A179" s="251"/>
      <c r="B179" s="258"/>
      <c r="C179" s="30" t="s">
        <v>299</v>
      </c>
      <c r="D179" s="39" t="s">
        <v>300</v>
      </c>
      <c r="E179" s="29" t="s">
        <v>301</v>
      </c>
      <c r="F179" s="31">
        <f>1710+120+461</f>
        <v>2291</v>
      </c>
      <c r="G179" s="31">
        <f>1818+120+428</f>
        <v>2366</v>
      </c>
      <c r="H179" s="31">
        <f>2182+120+804</f>
        <v>3106</v>
      </c>
      <c r="I179" s="31">
        <f>2182+134+809</f>
        <v>3125</v>
      </c>
      <c r="J179" s="31">
        <f>2288+134+893</f>
        <v>3315</v>
      </c>
      <c r="K179" s="66"/>
    </row>
    <row r="180" spans="1:11" s="11" customFormat="1" ht="68.25" customHeight="1" x14ac:dyDescent="0.2">
      <c r="A180" s="251"/>
      <c r="B180" s="258"/>
      <c r="C180" s="30" t="s">
        <v>328</v>
      </c>
      <c r="D180" s="39" t="s">
        <v>302</v>
      </c>
      <c r="E180" s="29" t="s">
        <v>303</v>
      </c>
      <c r="F180" s="31">
        <f>726490.48+49314.09-83627.131</f>
        <v>692177.43900000001</v>
      </c>
      <c r="G180" s="31">
        <f>820685.11-86253.148</f>
        <v>734431.96199999994</v>
      </c>
      <c r="H180" s="31">
        <f>855352.1+30182.425+1463.602+28170.49-89063.295</f>
        <v>826105.32199999993</v>
      </c>
      <c r="I180" s="31">
        <f>884988.89+55569.62-91426.202</f>
        <v>849132.30799999996</v>
      </c>
      <c r="J180" s="31">
        <f>966894.148-94583.956</f>
        <v>872310.19200000004</v>
      </c>
      <c r="K180" s="66"/>
    </row>
    <row r="181" spans="1:11" s="11" customFormat="1" ht="53.25" customHeight="1" x14ac:dyDescent="0.2">
      <c r="A181" s="251" t="s">
        <v>699</v>
      </c>
      <c r="B181" s="258" t="s">
        <v>305</v>
      </c>
      <c r="C181" s="30" t="s">
        <v>306</v>
      </c>
      <c r="D181" s="39" t="s">
        <v>300</v>
      </c>
      <c r="E181" s="29" t="s">
        <v>301</v>
      </c>
      <c r="F181" s="31">
        <v>26139</v>
      </c>
      <c r="G181" s="31">
        <v>27125</v>
      </c>
      <c r="H181" s="31">
        <v>26828</v>
      </c>
      <c r="I181" s="31">
        <v>26828</v>
      </c>
      <c r="J181" s="31">
        <v>26828</v>
      </c>
      <c r="K181" s="66"/>
    </row>
    <row r="182" spans="1:11" s="11" customFormat="1" ht="65.25" customHeight="1" x14ac:dyDescent="0.2">
      <c r="A182" s="251"/>
      <c r="B182" s="258"/>
      <c r="C182" s="30" t="s">
        <v>327</v>
      </c>
      <c r="D182" s="39" t="s">
        <v>302</v>
      </c>
      <c r="E182" s="29" t="s">
        <v>303</v>
      </c>
      <c r="F182" s="31">
        <v>194320.26</v>
      </c>
      <c r="G182" s="31">
        <v>204810.01</v>
      </c>
      <c r="H182" s="31">
        <v>212348.79</v>
      </c>
      <c r="I182" s="31">
        <v>219971.17</v>
      </c>
      <c r="J182" s="31">
        <v>232289.55600000001</v>
      </c>
      <c r="K182" s="66"/>
    </row>
    <row r="183" spans="1:11" s="11" customFormat="1" ht="33.75" customHeight="1" x14ac:dyDescent="0.2">
      <c r="A183" s="251"/>
      <c r="B183" s="258"/>
      <c r="C183" s="30" t="s">
        <v>306</v>
      </c>
      <c r="D183" s="39" t="s">
        <v>300</v>
      </c>
      <c r="E183" s="29" t="s">
        <v>301</v>
      </c>
      <c r="F183" s="31">
        <v>739</v>
      </c>
      <c r="G183" s="31">
        <v>667</v>
      </c>
      <c r="H183" s="31">
        <v>680</v>
      </c>
      <c r="I183" s="31">
        <v>685</v>
      </c>
      <c r="J183" s="31">
        <v>695</v>
      </c>
      <c r="K183" s="66"/>
    </row>
    <row r="184" spans="1:11" s="11" customFormat="1" ht="81" customHeight="1" x14ac:dyDescent="0.2">
      <c r="A184" s="251"/>
      <c r="B184" s="258"/>
      <c r="C184" s="30" t="s">
        <v>328</v>
      </c>
      <c r="D184" s="39" t="s">
        <v>302</v>
      </c>
      <c r="E184" s="29" t="s">
        <v>303</v>
      </c>
      <c r="F184" s="31">
        <v>44570.07</v>
      </c>
      <c r="G184" s="31">
        <v>45072.02</v>
      </c>
      <c r="H184" s="31">
        <f>46271.81+232.767</f>
        <v>46504.576999999997</v>
      </c>
      <c r="I184" s="31">
        <f>47323.89+2000</f>
        <v>49323.89</v>
      </c>
      <c r="J184" s="31">
        <f>50704.959+504.93</f>
        <v>51209.889000000003</v>
      </c>
      <c r="K184" s="66"/>
    </row>
    <row r="185" spans="1:11" s="11" customFormat="1" ht="48" customHeight="1" x14ac:dyDescent="0.2">
      <c r="A185" s="251" t="s">
        <v>700</v>
      </c>
      <c r="B185" s="258" t="s">
        <v>307</v>
      </c>
      <c r="C185" s="30" t="s">
        <v>326</v>
      </c>
      <c r="D185" s="39" t="s">
        <v>300</v>
      </c>
      <c r="E185" s="29" t="s">
        <v>301</v>
      </c>
      <c r="F185" s="31">
        <v>14725</v>
      </c>
      <c r="G185" s="31">
        <v>14716</v>
      </c>
      <c r="H185" s="31">
        <v>14749</v>
      </c>
      <c r="I185" s="31">
        <v>14749</v>
      </c>
      <c r="J185" s="31">
        <v>14749</v>
      </c>
      <c r="K185" s="66"/>
    </row>
    <row r="186" spans="1:11" s="11" customFormat="1" ht="63" customHeight="1" x14ac:dyDescent="0.2">
      <c r="A186" s="251"/>
      <c r="B186" s="258"/>
      <c r="C186" s="30" t="s">
        <v>327</v>
      </c>
      <c r="D186" s="39" t="s">
        <v>302</v>
      </c>
      <c r="E186" s="29" t="s">
        <v>303</v>
      </c>
      <c r="F186" s="31">
        <v>621612.77</v>
      </c>
      <c r="G186" s="31">
        <v>651264.73</v>
      </c>
      <c r="H186" s="31">
        <f>690333.16-2910.804</f>
        <v>687422.35600000003</v>
      </c>
      <c r="I186" s="31">
        <f>721918.49-5001.115</f>
        <v>716917.375</v>
      </c>
      <c r="J186" s="31">
        <v>757064.75300000003</v>
      </c>
      <c r="K186" s="66"/>
    </row>
    <row r="187" spans="1:11" s="11" customFormat="1" ht="19.5" customHeight="1" x14ac:dyDescent="0.2">
      <c r="A187" s="251" t="s">
        <v>702</v>
      </c>
      <c r="B187" s="258" t="s">
        <v>308</v>
      </c>
      <c r="C187" s="30" t="s">
        <v>309</v>
      </c>
      <c r="D187" s="39" t="s">
        <v>310</v>
      </c>
      <c r="E187" s="29" t="s">
        <v>311</v>
      </c>
      <c r="F187" s="31">
        <v>3755</v>
      </c>
      <c r="G187" s="31">
        <v>0</v>
      </c>
      <c r="H187" s="31">
        <v>0</v>
      </c>
      <c r="I187" s="31">
        <v>0</v>
      </c>
      <c r="J187" s="31">
        <v>0</v>
      </c>
      <c r="K187" s="66"/>
    </row>
    <row r="188" spans="1:11" s="11" customFormat="1" ht="60.75" customHeight="1" x14ac:dyDescent="0.2">
      <c r="A188" s="251"/>
      <c r="B188" s="258"/>
      <c r="C188" s="30" t="s">
        <v>329</v>
      </c>
      <c r="D188" s="39" t="s">
        <v>302</v>
      </c>
      <c r="E188" s="29" t="s">
        <v>303</v>
      </c>
      <c r="F188" s="31">
        <v>5009.4319999999998</v>
      </c>
      <c r="G188" s="31">
        <v>0</v>
      </c>
      <c r="H188" s="31">
        <v>0</v>
      </c>
      <c r="I188" s="31">
        <v>0</v>
      </c>
      <c r="J188" s="31">
        <v>0</v>
      </c>
      <c r="K188" s="66"/>
    </row>
    <row r="189" spans="1:11" s="11" customFormat="1" ht="22.5" customHeight="1" x14ac:dyDescent="0.2">
      <c r="A189" s="251"/>
      <c r="B189" s="258"/>
      <c r="C189" s="30" t="s">
        <v>309</v>
      </c>
      <c r="D189" s="39" t="s">
        <v>310</v>
      </c>
      <c r="E189" s="29" t="s">
        <v>311</v>
      </c>
      <c r="F189" s="31">
        <v>15033</v>
      </c>
      <c r="G189" s="31">
        <v>2891</v>
      </c>
      <c r="H189" s="31">
        <v>0</v>
      </c>
      <c r="I189" s="31">
        <v>0</v>
      </c>
      <c r="J189" s="31">
        <v>0</v>
      </c>
      <c r="K189" s="66"/>
    </row>
    <row r="190" spans="1:11" s="11" customFormat="1" ht="57.75" customHeight="1" x14ac:dyDescent="0.2">
      <c r="A190" s="251"/>
      <c r="B190" s="258"/>
      <c r="C190" s="30" t="s">
        <v>328</v>
      </c>
      <c r="D190" s="39" t="s">
        <v>302</v>
      </c>
      <c r="E190" s="29" t="s">
        <v>303</v>
      </c>
      <c r="F190" s="31">
        <f>26704.18-5009.432</f>
        <v>21694.748</v>
      </c>
      <c r="G190" s="31">
        <v>22086.880000000001</v>
      </c>
      <c r="H190" s="31">
        <v>0</v>
      </c>
      <c r="I190" s="31">
        <v>0</v>
      </c>
      <c r="J190" s="31">
        <v>0</v>
      </c>
      <c r="K190" s="66"/>
    </row>
    <row r="191" spans="1:11" s="98" customFormat="1" ht="21" customHeight="1" x14ac:dyDescent="0.25">
      <c r="A191" s="172"/>
      <c r="B191" s="260" t="s">
        <v>312</v>
      </c>
      <c r="C191" s="260"/>
      <c r="D191" s="260"/>
      <c r="E191" s="93" t="s">
        <v>31</v>
      </c>
      <c r="F191" s="94">
        <f>F176+F178+F180+F182+F184+F186+F188+F190</f>
        <v>1685251.5199999998</v>
      </c>
      <c r="G191" s="94">
        <f t="shared" ref="G191:J191" si="14">G176+G178+G180+G182+G184+G186+G188+G190</f>
        <v>1769700.0399999998</v>
      </c>
      <c r="H191" s="94">
        <f t="shared" si="14"/>
        <v>1889164.1800000002</v>
      </c>
      <c r="I191" s="94">
        <f t="shared" si="14"/>
        <v>1956224.8149999999</v>
      </c>
      <c r="J191" s="94">
        <f t="shared" si="14"/>
        <v>2038643.422</v>
      </c>
      <c r="K191" s="97"/>
    </row>
    <row r="192" spans="1:11" s="86" customFormat="1" ht="24" customHeight="1" x14ac:dyDescent="0.2">
      <c r="A192" s="170" t="s">
        <v>331</v>
      </c>
      <c r="B192" s="257" t="s">
        <v>330</v>
      </c>
      <c r="C192" s="257"/>
      <c r="D192" s="257"/>
      <c r="E192" s="257"/>
      <c r="F192" s="257"/>
      <c r="G192" s="257"/>
      <c r="H192" s="257"/>
      <c r="I192" s="257"/>
      <c r="J192" s="257"/>
      <c r="K192" s="85"/>
    </row>
    <row r="193" spans="1:11" ht="15" customHeight="1" x14ac:dyDescent="0.2">
      <c r="A193" s="231" t="s">
        <v>709</v>
      </c>
      <c r="B193" s="258" t="s">
        <v>314</v>
      </c>
      <c r="C193" s="25" t="s">
        <v>315</v>
      </c>
      <c r="D193" s="39" t="s">
        <v>316</v>
      </c>
      <c r="E193" s="28" t="s">
        <v>12</v>
      </c>
      <c r="F193" s="31"/>
      <c r="G193" s="31">
        <v>6</v>
      </c>
      <c r="H193" s="31">
        <v>7</v>
      </c>
      <c r="I193" s="31">
        <v>7</v>
      </c>
      <c r="J193" s="31">
        <v>7</v>
      </c>
      <c r="K193" s="10"/>
    </row>
    <row r="194" spans="1:11" ht="51" x14ac:dyDescent="0.2">
      <c r="A194" s="243"/>
      <c r="B194" s="258"/>
      <c r="C194" s="25" t="s">
        <v>317</v>
      </c>
      <c r="D194" s="39" t="s">
        <v>302</v>
      </c>
      <c r="E194" s="28" t="s">
        <v>303</v>
      </c>
      <c r="F194" s="31">
        <v>0</v>
      </c>
      <c r="G194" s="31">
        <v>4513.6090000000004</v>
      </c>
      <c r="H194" s="31">
        <v>17771.440889999998</v>
      </c>
      <c r="I194" s="31">
        <v>17676.711240000001</v>
      </c>
      <c r="J194" s="31">
        <v>17676.711240000001</v>
      </c>
      <c r="K194" s="10"/>
    </row>
    <row r="195" spans="1:11" ht="57.75" customHeight="1" x14ac:dyDescent="0.2">
      <c r="A195" s="232"/>
      <c r="B195" s="258"/>
      <c r="C195" s="25" t="s">
        <v>318</v>
      </c>
      <c r="D195" s="39" t="s">
        <v>302</v>
      </c>
      <c r="E195" s="28" t="s">
        <v>303</v>
      </c>
      <c r="F195" s="31">
        <v>0</v>
      </c>
      <c r="G195" s="31">
        <f>2790.23218+23.131</f>
        <v>2813.3631799999998</v>
      </c>
      <c r="H195" s="31">
        <v>0</v>
      </c>
      <c r="I195" s="31">
        <v>0</v>
      </c>
      <c r="J195" s="31">
        <v>0</v>
      </c>
      <c r="K195" s="10"/>
    </row>
    <row r="196" spans="1:11" ht="27" customHeight="1" x14ac:dyDescent="0.2">
      <c r="A196" s="231" t="s">
        <v>712</v>
      </c>
      <c r="B196" s="258" t="s">
        <v>319</v>
      </c>
      <c r="C196" s="25" t="s">
        <v>320</v>
      </c>
      <c r="D196" s="39" t="s">
        <v>316</v>
      </c>
      <c r="E196" s="28" t="s">
        <v>12</v>
      </c>
      <c r="F196" s="31">
        <v>0</v>
      </c>
      <c r="G196" s="31">
        <v>23</v>
      </c>
      <c r="H196" s="31">
        <v>8</v>
      </c>
      <c r="I196" s="31">
        <v>8</v>
      </c>
      <c r="J196" s="31">
        <v>16</v>
      </c>
      <c r="K196" s="10"/>
    </row>
    <row r="197" spans="1:11" ht="54.75" customHeight="1" x14ac:dyDescent="0.2">
      <c r="A197" s="232"/>
      <c r="B197" s="258"/>
      <c r="C197" s="25" t="s">
        <v>318</v>
      </c>
      <c r="D197" s="39" t="s">
        <v>302</v>
      </c>
      <c r="E197" s="28" t="s">
        <v>303</v>
      </c>
      <c r="F197" s="31">
        <v>0</v>
      </c>
      <c r="G197" s="31">
        <f>31622.6309+25</f>
        <v>31647.6309</v>
      </c>
      <c r="H197" s="31">
        <v>36177.89905</v>
      </c>
      <c r="I197" s="31">
        <v>36177.897840000005</v>
      </c>
      <c r="J197" s="31">
        <v>56921.348340000004</v>
      </c>
      <c r="K197" s="10"/>
    </row>
    <row r="198" spans="1:11" ht="24.75" customHeight="1" x14ac:dyDescent="0.2">
      <c r="A198" s="231" t="s">
        <v>714</v>
      </c>
      <c r="B198" s="258" t="s">
        <v>321</v>
      </c>
      <c r="C198" s="25" t="s">
        <v>322</v>
      </c>
      <c r="D198" s="39" t="s">
        <v>316</v>
      </c>
      <c r="E198" s="28" t="s">
        <v>12</v>
      </c>
      <c r="F198" s="31">
        <v>0</v>
      </c>
      <c r="G198" s="31">
        <v>7</v>
      </c>
      <c r="H198" s="31">
        <v>0</v>
      </c>
      <c r="I198" s="31">
        <v>0</v>
      </c>
      <c r="J198" s="31">
        <v>0</v>
      </c>
      <c r="K198" s="10"/>
    </row>
    <row r="199" spans="1:11" ht="84" customHeight="1" x14ac:dyDescent="0.2">
      <c r="A199" s="232"/>
      <c r="B199" s="258"/>
      <c r="C199" s="25" t="s">
        <v>318</v>
      </c>
      <c r="D199" s="39" t="s">
        <v>302</v>
      </c>
      <c r="E199" s="28" t="s">
        <v>303</v>
      </c>
      <c r="F199" s="31">
        <v>0</v>
      </c>
      <c r="G199" s="31">
        <f>12091.006+25</f>
        <v>12116.005999999999</v>
      </c>
      <c r="H199" s="31">
        <v>0</v>
      </c>
      <c r="I199" s="31">
        <v>0</v>
      </c>
      <c r="J199" s="31">
        <v>0</v>
      </c>
      <c r="K199" s="10"/>
    </row>
    <row r="200" spans="1:11" ht="24.75" customHeight="1" x14ac:dyDescent="0.2">
      <c r="A200" s="231" t="s">
        <v>716</v>
      </c>
      <c r="B200" s="258" t="s">
        <v>323</v>
      </c>
      <c r="C200" s="25" t="s">
        <v>324</v>
      </c>
      <c r="D200" s="39" t="s">
        <v>20</v>
      </c>
      <c r="E200" s="28" t="s">
        <v>325</v>
      </c>
      <c r="F200" s="31">
        <v>0</v>
      </c>
      <c r="G200" s="31">
        <v>129600</v>
      </c>
      <c r="H200" s="31">
        <v>129600</v>
      </c>
      <c r="I200" s="31">
        <v>129600</v>
      </c>
      <c r="J200" s="31">
        <v>129600</v>
      </c>
      <c r="K200" s="10"/>
    </row>
    <row r="201" spans="1:11" ht="51" x14ac:dyDescent="0.2">
      <c r="A201" s="232"/>
      <c r="B201" s="258"/>
      <c r="C201" s="25" t="s">
        <v>318</v>
      </c>
      <c r="D201" s="39" t="s">
        <v>302</v>
      </c>
      <c r="E201" s="28" t="s">
        <v>303</v>
      </c>
      <c r="F201" s="31">
        <v>0</v>
      </c>
      <c r="G201" s="31">
        <v>10924.308000000001</v>
      </c>
      <c r="H201" s="31">
        <v>3613.6</v>
      </c>
      <c r="I201" s="31">
        <v>3687.3</v>
      </c>
      <c r="J201" s="31">
        <v>3943.3</v>
      </c>
      <c r="K201" s="10"/>
    </row>
    <row r="202" spans="1:11" s="96" customFormat="1" ht="17.25" customHeight="1" x14ac:dyDescent="0.2">
      <c r="A202" s="172"/>
      <c r="B202" s="260" t="s">
        <v>313</v>
      </c>
      <c r="C202" s="260"/>
      <c r="D202" s="260"/>
      <c r="E202" s="93" t="s">
        <v>31</v>
      </c>
      <c r="F202" s="94">
        <f>F194+F195+F197+F199+F201</f>
        <v>0</v>
      </c>
      <c r="G202" s="94">
        <f t="shared" ref="G202:J202" si="15">G194+G195+G197+G199+G201</f>
        <v>62014.917079999999</v>
      </c>
      <c r="H202" s="94">
        <f t="shared" si="15"/>
        <v>57562.939939999997</v>
      </c>
      <c r="I202" s="94">
        <f t="shared" si="15"/>
        <v>57541.909080000012</v>
      </c>
      <c r="J202" s="94">
        <f t="shared" si="15"/>
        <v>78541.359580000004</v>
      </c>
      <c r="K202" s="95"/>
    </row>
    <row r="203" spans="1:11" s="86" customFormat="1" ht="36" customHeight="1" x14ac:dyDescent="0.2">
      <c r="A203" s="173" t="s">
        <v>332</v>
      </c>
      <c r="B203" s="261" t="s">
        <v>574</v>
      </c>
      <c r="C203" s="262"/>
      <c r="D203" s="262"/>
      <c r="E203" s="262"/>
      <c r="F203" s="262"/>
      <c r="G203" s="262"/>
      <c r="H203" s="262"/>
      <c r="I203" s="262"/>
      <c r="J203" s="263"/>
      <c r="K203" s="85"/>
    </row>
    <row r="204" spans="1:11" ht="20.25" customHeight="1" x14ac:dyDescent="0.2">
      <c r="A204" s="218" t="s">
        <v>1336</v>
      </c>
      <c r="B204" s="264" t="s">
        <v>333</v>
      </c>
      <c r="C204" s="265" t="s">
        <v>334</v>
      </c>
      <c r="D204" s="135" t="s">
        <v>335</v>
      </c>
      <c r="E204" s="23" t="s">
        <v>336</v>
      </c>
      <c r="F204" s="57">
        <v>6076325</v>
      </c>
      <c r="G204" s="57">
        <v>4259200</v>
      </c>
      <c r="H204" s="58">
        <v>4277886</v>
      </c>
      <c r="I204" s="58">
        <v>4277886</v>
      </c>
      <c r="J204" s="58">
        <v>4277886</v>
      </c>
      <c r="K204" s="10"/>
    </row>
    <row r="205" spans="1:11" ht="20.25" customHeight="1" x14ac:dyDescent="0.2">
      <c r="A205" s="233"/>
      <c r="B205" s="264"/>
      <c r="C205" s="265"/>
      <c r="D205" s="135" t="s">
        <v>335</v>
      </c>
      <c r="E205" s="23" t="s">
        <v>337</v>
      </c>
      <c r="F205" s="57">
        <v>16419765</v>
      </c>
      <c r="G205" s="57">
        <v>11011968</v>
      </c>
      <c r="H205" s="58">
        <v>11064105</v>
      </c>
      <c r="I205" s="58">
        <v>11064105</v>
      </c>
      <c r="J205" s="58">
        <v>11064105</v>
      </c>
      <c r="K205" s="10"/>
    </row>
    <row r="206" spans="1:11" ht="20.25" customHeight="1" x14ac:dyDescent="0.2">
      <c r="A206" s="233"/>
      <c r="B206" s="264"/>
      <c r="C206" s="265"/>
      <c r="D206" s="135" t="s">
        <v>338</v>
      </c>
      <c r="E206" s="23" t="s">
        <v>336</v>
      </c>
      <c r="F206" s="57">
        <v>242</v>
      </c>
      <c r="G206" s="57">
        <v>242</v>
      </c>
      <c r="H206" s="58">
        <v>242</v>
      </c>
      <c r="I206" s="58">
        <v>242</v>
      </c>
      <c r="J206" s="58">
        <v>242</v>
      </c>
      <c r="K206" s="10"/>
    </row>
    <row r="207" spans="1:11" ht="20.25" customHeight="1" x14ac:dyDescent="0.2">
      <c r="A207" s="233"/>
      <c r="B207" s="264"/>
      <c r="C207" s="146" t="s">
        <v>339</v>
      </c>
      <c r="D207" s="135" t="s">
        <v>338</v>
      </c>
      <c r="E207" s="23" t="s">
        <v>336</v>
      </c>
      <c r="F207" s="57">
        <v>242</v>
      </c>
      <c r="G207" s="57">
        <v>242</v>
      </c>
      <c r="H207" s="58">
        <v>242</v>
      </c>
      <c r="I207" s="58">
        <v>242</v>
      </c>
      <c r="J207" s="58">
        <v>242</v>
      </c>
      <c r="K207" s="10"/>
    </row>
    <row r="208" spans="1:11" ht="28.5" customHeight="1" x14ac:dyDescent="0.2">
      <c r="A208" s="233"/>
      <c r="B208" s="264"/>
      <c r="C208" s="265" t="s">
        <v>340</v>
      </c>
      <c r="D208" s="135" t="s">
        <v>341</v>
      </c>
      <c r="E208" s="23" t="s">
        <v>336</v>
      </c>
      <c r="F208" s="57">
        <v>720000</v>
      </c>
      <c r="G208" s="57">
        <v>750000</v>
      </c>
      <c r="H208" s="58">
        <v>750000</v>
      </c>
      <c r="I208" s="58">
        <v>750000</v>
      </c>
      <c r="J208" s="58">
        <v>750000</v>
      </c>
      <c r="K208" s="10"/>
    </row>
    <row r="209" spans="1:11" ht="20.25" customHeight="1" x14ac:dyDescent="0.2">
      <c r="A209" s="233"/>
      <c r="B209" s="264"/>
      <c r="C209" s="265"/>
      <c r="D209" s="135" t="s">
        <v>338</v>
      </c>
      <c r="E209" s="23" t="s">
        <v>336</v>
      </c>
      <c r="F209" s="57">
        <v>6</v>
      </c>
      <c r="G209" s="57">
        <v>6</v>
      </c>
      <c r="H209" s="58">
        <v>6</v>
      </c>
      <c r="I209" s="58">
        <v>6</v>
      </c>
      <c r="J209" s="58">
        <v>6</v>
      </c>
      <c r="K209" s="10"/>
    </row>
    <row r="210" spans="1:11" ht="20.25" customHeight="1" x14ac:dyDescent="0.2">
      <c r="A210" s="233"/>
      <c r="B210" s="264"/>
      <c r="C210" s="265"/>
      <c r="D210" s="135" t="s">
        <v>335</v>
      </c>
      <c r="E210" s="23" t="s">
        <v>336</v>
      </c>
      <c r="F210" s="57">
        <v>7500</v>
      </c>
      <c r="G210" s="57">
        <v>7500</v>
      </c>
      <c r="H210" s="58">
        <v>7500</v>
      </c>
      <c r="I210" s="58">
        <v>7500</v>
      </c>
      <c r="J210" s="58">
        <v>7500</v>
      </c>
      <c r="K210" s="10"/>
    </row>
    <row r="211" spans="1:11" ht="15.75" x14ac:dyDescent="0.2">
      <c r="A211" s="233"/>
      <c r="B211" s="264"/>
      <c r="C211" s="265"/>
      <c r="D211" s="135" t="s">
        <v>342</v>
      </c>
      <c r="E211" s="23" t="s">
        <v>337</v>
      </c>
      <c r="F211" s="57">
        <v>74250</v>
      </c>
      <c r="G211" s="57">
        <v>67500</v>
      </c>
      <c r="H211" s="58">
        <v>67500</v>
      </c>
      <c r="I211" s="58">
        <v>67500</v>
      </c>
      <c r="J211" s="58">
        <v>67500</v>
      </c>
      <c r="K211" s="10"/>
    </row>
    <row r="212" spans="1:11" ht="15.75" x14ac:dyDescent="0.2">
      <c r="A212" s="219"/>
      <c r="B212" s="264"/>
      <c r="C212" s="146" t="s">
        <v>343</v>
      </c>
      <c r="D212" s="135" t="s">
        <v>338</v>
      </c>
      <c r="E212" s="23" t="s">
        <v>336</v>
      </c>
      <c r="F212" s="57">
        <v>6</v>
      </c>
      <c r="G212" s="57">
        <v>6</v>
      </c>
      <c r="H212" s="58">
        <v>6</v>
      </c>
      <c r="I212" s="58">
        <v>6</v>
      </c>
      <c r="J212" s="58">
        <v>6</v>
      </c>
      <c r="K212" s="10"/>
    </row>
    <row r="213" spans="1:11" ht="25.5" x14ac:dyDescent="0.2">
      <c r="A213" s="231" t="s">
        <v>742</v>
      </c>
      <c r="B213" s="259" t="s">
        <v>344</v>
      </c>
      <c r="C213" s="146" t="s">
        <v>345</v>
      </c>
      <c r="D213" s="135" t="s">
        <v>346</v>
      </c>
      <c r="E213" s="23" t="s">
        <v>336</v>
      </c>
      <c r="F213" s="57">
        <v>7200</v>
      </c>
      <c r="G213" s="57">
        <v>7200</v>
      </c>
      <c r="H213" s="58">
        <v>7200</v>
      </c>
      <c r="I213" s="58">
        <v>7200</v>
      </c>
      <c r="J213" s="58">
        <v>7200</v>
      </c>
      <c r="K213" s="10"/>
    </row>
    <row r="214" spans="1:11" ht="61.5" customHeight="1" x14ac:dyDescent="0.2">
      <c r="A214" s="232"/>
      <c r="B214" s="217"/>
      <c r="C214" s="32" t="s">
        <v>347</v>
      </c>
      <c r="D214" s="145" t="s">
        <v>302</v>
      </c>
      <c r="E214" s="67" t="s">
        <v>303</v>
      </c>
      <c r="F214" s="58">
        <v>83000</v>
      </c>
      <c r="G214" s="58">
        <v>36441.1</v>
      </c>
      <c r="H214" s="58">
        <v>37257.599999999999</v>
      </c>
      <c r="I214" s="58">
        <v>34893.800000000003</v>
      </c>
      <c r="J214" s="58">
        <v>40893.800000000003</v>
      </c>
      <c r="K214" s="10"/>
    </row>
    <row r="215" spans="1:11" x14ac:dyDescent="0.2">
      <c r="A215" s="278" t="s">
        <v>2118</v>
      </c>
      <c r="B215" s="304" t="s">
        <v>857</v>
      </c>
      <c r="C215" s="149" t="s">
        <v>858</v>
      </c>
      <c r="D215" s="140" t="s">
        <v>859</v>
      </c>
      <c r="E215" s="149" t="s">
        <v>23</v>
      </c>
      <c r="F215" s="59">
        <v>44945</v>
      </c>
      <c r="G215" s="59">
        <v>111500</v>
      </c>
      <c r="H215" s="59">
        <v>110000</v>
      </c>
      <c r="I215" s="59">
        <v>110000</v>
      </c>
      <c r="J215" s="59">
        <v>110000</v>
      </c>
      <c r="K215" s="10"/>
    </row>
    <row r="216" spans="1:11" x14ac:dyDescent="0.2">
      <c r="A216" s="278"/>
      <c r="B216" s="304"/>
      <c r="C216" s="149" t="s">
        <v>860</v>
      </c>
      <c r="D216" s="140" t="s">
        <v>859</v>
      </c>
      <c r="E216" s="149" t="s">
        <v>23</v>
      </c>
      <c r="F216" s="59">
        <v>957846</v>
      </c>
      <c r="G216" s="59">
        <v>847382</v>
      </c>
      <c r="H216" s="59">
        <v>877000</v>
      </c>
      <c r="I216" s="59">
        <v>877000</v>
      </c>
      <c r="J216" s="59">
        <v>877000</v>
      </c>
      <c r="K216" s="10"/>
    </row>
    <row r="217" spans="1:11" x14ac:dyDescent="0.2">
      <c r="A217" s="278"/>
      <c r="B217" s="304"/>
      <c r="C217" s="149" t="s">
        <v>861</v>
      </c>
      <c r="D217" s="140" t="s">
        <v>859</v>
      </c>
      <c r="E217" s="149" t="s">
        <v>23</v>
      </c>
      <c r="F217" s="59">
        <v>55163</v>
      </c>
      <c r="G217" s="59">
        <v>95000</v>
      </c>
      <c r="H217" s="59">
        <v>65000</v>
      </c>
      <c r="I217" s="59">
        <v>65000</v>
      </c>
      <c r="J217" s="59">
        <v>65000</v>
      </c>
      <c r="K217" s="10"/>
    </row>
    <row r="218" spans="1:11" x14ac:dyDescent="0.2">
      <c r="A218" s="278"/>
      <c r="B218" s="304"/>
      <c r="C218" s="149" t="s">
        <v>862</v>
      </c>
      <c r="D218" s="140" t="s">
        <v>859</v>
      </c>
      <c r="E218" s="149" t="s">
        <v>23</v>
      </c>
      <c r="F218" s="59"/>
      <c r="G218" s="59">
        <v>2000</v>
      </c>
      <c r="H218" s="59">
        <v>8000</v>
      </c>
      <c r="I218" s="59">
        <v>8000</v>
      </c>
      <c r="J218" s="59">
        <v>8000</v>
      </c>
      <c r="K218" s="10"/>
    </row>
    <row r="219" spans="1:11" ht="51" x14ac:dyDescent="0.2">
      <c r="A219" s="278"/>
      <c r="B219" s="304"/>
      <c r="C219" s="42" t="s">
        <v>863</v>
      </c>
      <c r="D219" s="149" t="s">
        <v>302</v>
      </c>
      <c r="E219" s="43" t="s">
        <v>31</v>
      </c>
      <c r="F219" s="44">
        <v>467535</v>
      </c>
      <c r="G219" s="45">
        <v>497924.94</v>
      </c>
      <c r="H219" s="45">
        <v>504681.2</v>
      </c>
      <c r="I219" s="45">
        <v>537822.4</v>
      </c>
      <c r="J219" s="45">
        <v>557472.69999999995</v>
      </c>
      <c r="K219" s="10"/>
    </row>
    <row r="220" spans="1:11" s="89" customFormat="1" ht="17.25" customHeight="1" x14ac:dyDescent="0.25">
      <c r="A220" s="239" t="s">
        <v>575</v>
      </c>
      <c r="B220" s="240"/>
      <c r="C220" s="240"/>
      <c r="D220" s="240"/>
      <c r="E220" s="93" t="s">
        <v>31</v>
      </c>
      <c r="F220" s="94">
        <f>F219+F214</f>
        <v>550535</v>
      </c>
      <c r="G220" s="94">
        <f t="shared" ref="G220:J220" si="16">G219+G214</f>
        <v>534366.04</v>
      </c>
      <c r="H220" s="94">
        <f t="shared" si="16"/>
        <v>541938.80000000005</v>
      </c>
      <c r="I220" s="94">
        <f t="shared" si="16"/>
        <v>572716.20000000007</v>
      </c>
      <c r="J220" s="94">
        <f t="shared" si="16"/>
        <v>598366.5</v>
      </c>
      <c r="K220" s="88"/>
    </row>
    <row r="221" spans="1:11" s="86" customFormat="1" ht="35.25" customHeight="1" x14ac:dyDescent="0.2">
      <c r="A221" s="170" t="s">
        <v>353</v>
      </c>
      <c r="B221" s="213" t="s">
        <v>352</v>
      </c>
      <c r="C221" s="214"/>
      <c r="D221" s="214"/>
      <c r="E221" s="214"/>
      <c r="F221" s="214"/>
      <c r="G221" s="214"/>
      <c r="H221" s="214"/>
      <c r="I221" s="214"/>
      <c r="J221" s="215"/>
      <c r="K221" s="85"/>
    </row>
    <row r="222" spans="1:11" ht="48" customHeight="1" x14ac:dyDescent="0.2">
      <c r="A222" s="231" t="s">
        <v>767</v>
      </c>
      <c r="B222" s="241" t="s">
        <v>354</v>
      </c>
      <c r="C222" s="147" t="s">
        <v>355</v>
      </c>
      <c r="D222" s="135" t="s">
        <v>357</v>
      </c>
      <c r="E222" s="23" t="s">
        <v>336</v>
      </c>
      <c r="F222" s="57">
        <v>240</v>
      </c>
      <c r="G222" s="57">
        <v>240</v>
      </c>
      <c r="H222" s="57">
        <v>240</v>
      </c>
      <c r="I222" s="57">
        <v>240</v>
      </c>
      <c r="J222" s="57">
        <v>240</v>
      </c>
      <c r="K222" s="10"/>
    </row>
    <row r="223" spans="1:11" ht="63" customHeight="1" x14ac:dyDescent="0.2">
      <c r="A223" s="232"/>
      <c r="B223" s="242"/>
      <c r="C223" s="147" t="s">
        <v>356</v>
      </c>
      <c r="D223" s="145" t="s">
        <v>302</v>
      </c>
      <c r="E223" s="67" t="s">
        <v>303</v>
      </c>
      <c r="F223" s="57">
        <v>20688.8</v>
      </c>
      <c r="G223" s="57">
        <v>21105</v>
      </c>
      <c r="H223" s="57">
        <v>21768</v>
      </c>
      <c r="I223" s="57">
        <v>21782</v>
      </c>
      <c r="J223" s="57">
        <v>21796.6</v>
      </c>
      <c r="K223" s="10"/>
    </row>
    <row r="224" spans="1:11" ht="48" customHeight="1" x14ac:dyDescent="0.2">
      <c r="A224" s="231" t="s">
        <v>772</v>
      </c>
      <c r="B224" s="241" t="s">
        <v>781</v>
      </c>
      <c r="C224" s="147" t="s">
        <v>782</v>
      </c>
      <c r="D224" s="135" t="s">
        <v>784</v>
      </c>
      <c r="E224" s="23" t="s">
        <v>367</v>
      </c>
      <c r="F224" s="57">
        <v>11038</v>
      </c>
      <c r="G224" s="57">
        <v>9564</v>
      </c>
      <c r="H224" s="57">
        <v>11038</v>
      </c>
      <c r="I224" s="57">
        <v>11038</v>
      </c>
      <c r="J224" s="57">
        <v>11038</v>
      </c>
      <c r="K224" s="10"/>
    </row>
    <row r="225" spans="1:11" ht="63" customHeight="1" x14ac:dyDescent="0.2">
      <c r="A225" s="232"/>
      <c r="B225" s="242"/>
      <c r="C225" s="147" t="s">
        <v>783</v>
      </c>
      <c r="D225" s="145" t="s">
        <v>302</v>
      </c>
      <c r="E225" s="67" t="s">
        <v>303</v>
      </c>
      <c r="F225" s="57">
        <v>6390</v>
      </c>
      <c r="G225" s="57">
        <v>7167.701</v>
      </c>
      <c r="H225" s="57">
        <v>7308.76</v>
      </c>
      <c r="I225" s="57">
        <v>7336.2</v>
      </c>
      <c r="J225" s="57">
        <v>7383.84</v>
      </c>
      <c r="K225" s="10"/>
    </row>
    <row r="226" spans="1:11" s="89" customFormat="1" ht="16.5" customHeight="1" x14ac:dyDescent="0.25">
      <c r="A226" s="236" t="s">
        <v>358</v>
      </c>
      <c r="B226" s="237"/>
      <c r="C226" s="237"/>
      <c r="D226" s="238"/>
      <c r="E226" s="93" t="s">
        <v>31</v>
      </c>
      <c r="F226" s="94">
        <f>F223+F225</f>
        <v>27078.799999999999</v>
      </c>
      <c r="G226" s="94">
        <f t="shared" ref="G226:J226" si="17">G223+G225</f>
        <v>28272.701000000001</v>
      </c>
      <c r="H226" s="94">
        <f t="shared" si="17"/>
        <v>29076.760000000002</v>
      </c>
      <c r="I226" s="94">
        <f t="shared" si="17"/>
        <v>29118.2</v>
      </c>
      <c r="J226" s="94">
        <f t="shared" si="17"/>
        <v>29180.44</v>
      </c>
      <c r="K226" s="88"/>
    </row>
    <row r="227" spans="1:11" s="86" customFormat="1" ht="40.5" customHeight="1" x14ac:dyDescent="0.2">
      <c r="A227" s="170" t="s">
        <v>359</v>
      </c>
      <c r="B227" s="213" t="s">
        <v>785</v>
      </c>
      <c r="C227" s="214"/>
      <c r="D227" s="214"/>
      <c r="E227" s="214"/>
      <c r="F227" s="214"/>
      <c r="G227" s="214"/>
      <c r="H227" s="214"/>
      <c r="I227" s="214"/>
      <c r="J227" s="215"/>
      <c r="K227" s="85"/>
    </row>
    <row r="228" spans="1:11" ht="48" customHeight="1" x14ac:dyDescent="0.2">
      <c r="A228" s="231" t="s">
        <v>1337</v>
      </c>
      <c r="B228" s="241" t="s">
        <v>781</v>
      </c>
      <c r="C228" s="147" t="s">
        <v>787</v>
      </c>
      <c r="D228" s="135" t="s">
        <v>357</v>
      </c>
      <c r="E228" s="23" t="s">
        <v>367</v>
      </c>
      <c r="F228" s="57">
        <v>1744</v>
      </c>
      <c r="G228" s="57">
        <v>793</v>
      </c>
      <c r="H228" s="57">
        <v>1500</v>
      </c>
      <c r="I228" s="57">
        <v>1500</v>
      </c>
      <c r="J228" s="57">
        <v>1500</v>
      </c>
      <c r="K228" s="10"/>
    </row>
    <row r="229" spans="1:11" ht="63" customHeight="1" x14ac:dyDescent="0.2">
      <c r="A229" s="232"/>
      <c r="B229" s="242"/>
      <c r="C229" s="147" t="s">
        <v>788</v>
      </c>
      <c r="D229" s="145" t="s">
        <v>302</v>
      </c>
      <c r="E229" s="67" t="s">
        <v>303</v>
      </c>
      <c r="F229" s="57">
        <v>8114.04</v>
      </c>
      <c r="G229" s="57">
        <v>4479.241</v>
      </c>
      <c r="H229" s="57">
        <v>10411.58</v>
      </c>
      <c r="I229" s="57">
        <v>10428.27</v>
      </c>
      <c r="J229" s="57">
        <v>10893.77</v>
      </c>
      <c r="K229" s="10"/>
    </row>
    <row r="230" spans="1:11" ht="32.25" customHeight="1" x14ac:dyDescent="0.2">
      <c r="A230" s="231" t="s">
        <v>1338</v>
      </c>
      <c r="B230" s="241" t="s">
        <v>789</v>
      </c>
      <c r="C230" s="147" t="s">
        <v>790</v>
      </c>
      <c r="D230" s="135" t="s">
        <v>791</v>
      </c>
      <c r="E230" s="23" t="s">
        <v>792</v>
      </c>
      <c r="F230" s="57">
        <v>39473.449999999997</v>
      </c>
      <c r="G230" s="57">
        <v>39860.949999999997</v>
      </c>
      <c r="H230" s="57">
        <v>39035.85</v>
      </c>
      <c r="I230" s="57">
        <v>39035.85</v>
      </c>
      <c r="J230" s="57">
        <v>39035.85</v>
      </c>
      <c r="K230" s="10"/>
    </row>
    <row r="231" spans="1:11" ht="26.25" customHeight="1" x14ac:dyDescent="0.2">
      <c r="A231" s="243"/>
      <c r="B231" s="244"/>
      <c r="C231" s="147" t="s">
        <v>788</v>
      </c>
      <c r="D231" s="245" t="s">
        <v>302</v>
      </c>
      <c r="E231" s="248" t="s">
        <v>303</v>
      </c>
      <c r="F231" s="57">
        <v>126054.67</v>
      </c>
      <c r="G231" s="57">
        <v>134720.94</v>
      </c>
      <c r="H231" s="57">
        <v>130662.31</v>
      </c>
      <c r="I231" s="57">
        <v>131565.51999999999</v>
      </c>
      <c r="J231" s="57">
        <v>143382.69</v>
      </c>
      <c r="K231" s="10"/>
    </row>
    <row r="232" spans="1:11" ht="27.75" customHeight="1" x14ac:dyDescent="0.2">
      <c r="A232" s="243"/>
      <c r="B232" s="244"/>
      <c r="C232" s="147" t="s">
        <v>793</v>
      </c>
      <c r="D232" s="246"/>
      <c r="E232" s="249"/>
      <c r="F232" s="57">
        <v>45.8</v>
      </c>
      <c r="G232" s="57">
        <v>50.1</v>
      </c>
      <c r="H232" s="57">
        <v>48.94</v>
      </c>
      <c r="I232" s="57">
        <v>49.29</v>
      </c>
      <c r="J232" s="57">
        <v>53.89</v>
      </c>
      <c r="K232" s="10"/>
    </row>
    <row r="233" spans="1:11" ht="27" customHeight="1" x14ac:dyDescent="0.2">
      <c r="A233" s="232"/>
      <c r="B233" s="242"/>
      <c r="C233" s="147" t="s">
        <v>794</v>
      </c>
      <c r="D233" s="247"/>
      <c r="E233" s="250"/>
      <c r="F233" s="57">
        <v>90.4</v>
      </c>
      <c r="G233" s="57">
        <v>99</v>
      </c>
      <c r="H233" s="57">
        <v>96.58</v>
      </c>
      <c r="I233" s="57">
        <v>97.28</v>
      </c>
      <c r="J233" s="57">
        <v>106.37</v>
      </c>
      <c r="K233" s="10"/>
    </row>
    <row r="234" spans="1:11" s="89" customFormat="1" ht="16.5" customHeight="1" x14ac:dyDescent="0.25">
      <c r="A234" s="236" t="s">
        <v>786</v>
      </c>
      <c r="B234" s="237"/>
      <c r="C234" s="237"/>
      <c r="D234" s="238"/>
      <c r="E234" s="93" t="s">
        <v>31</v>
      </c>
      <c r="F234" s="94">
        <f>F229+F231+F232+F233</f>
        <v>134304.90999999997</v>
      </c>
      <c r="G234" s="94">
        <f t="shared" ref="G234:J234" si="18">G229+G231+G232+G233</f>
        <v>139349.28100000002</v>
      </c>
      <c r="H234" s="94">
        <f>H229+H231+H232+H233</f>
        <v>141219.40999999997</v>
      </c>
      <c r="I234" s="94">
        <f t="shared" si="18"/>
        <v>142140.35999999999</v>
      </c>
      <c r="J234" s="94">
        <f t="shared" si="18"/>
        <v>154436.72</v>
      </c>
      <c r="K234" s="88"/>
    </row>
    <row r="235" spans="1:11" s="86" customFormat="1" ht="27.75" customHeight="1" x14ac:dyDescent="0.2">
      <c r="A235" s="170" t="s">
        <v>778</v>
      </c>
      <c r="B235" s="213" t="s">
        <v>795</v>
      </c>
      <c r="C235" s="214"/>
      <c r="D235" s="214"/>
      <c r="E235" s="214"/>
      <c r="F235" s="214"/>
      <c r="G235" s="214"/>
      <c r="H235" s="214"/>
      <c r="I235" s="214"/>
      <c r="J235" s="215"/>
      <c r="K235" s="85"/>
    </row>
    <row r="236" spans="1:11" ht="48" customHeight="1" x14ac:dyDescent="0.2">
      <c r="A236" s="251" t="s">
        <v>1339</v>
      </c>
      <c r="B236" s="241" t="s">
        <v>797</v>
      </c>
      <c r="C236" s="147" t="s">
        <v>798</v>
      </c>
      <c r="D236" s="135" t="s">
        <v>799</v>
      </c>
      <c r="E236" s="23" t="s">
        <v>39</v>
      </c>
      <c r="F236" s="57">
        <v>169</v>
      </c>
      <c r="G236" s="57">
        <v>165</v>
      </c>
      <c r="H236" s="57">
        <v>165</v>
      </c>
      <c r="I236" s="57">
        <v>165</v>
      </c>
      <c r="J236" s="57">
        <v>165</v>
      </c>
      <c r="K236" s="10"/>
    </row>
    <row r="237" spans="1:11" ht="63" customHeight="1" x14ac:dyDescent="0.2">
      <c r="A237" s="251"/>
      <c r="B237" s="242"/>
      <c r="C237" s="147" t="s">
        <v>800</v>
      </c>
      <c r="D237" s="145" t="s">
        <v>302</v>
      </c>
      <c r="E237" s="67" t="s">
        <v>303</v>
      </c>
      <c r="F237" s="57">
        <v>527.5</v>
      </c>
      <c r="G237" s="57">
        <v>527.5</v>
      </c>
      <c r="H237" s="57">
        <v>527.5</v>
      </c>
      <c r="I237" s="57">
        <v>527.5</v>
      </c>
      <c r="J237" s="57">
        <v>527.5</v>
      </c>
      <c r="K237" s="10"/>
    </row>
    <row r="238" spans="1:11" ht="32.25" customHeight="1" x14ac:dyDescent="0.2">
      <c r="A238" s="231" t="s">
        <v>1340</v>
      </c>
      <c r="B238" s="241" t="s">
        <v>801</v>
      </c>
      <c r="C238" s="147" t="s">
        <v>802</v>
      </c>
      <c r="D238" s="135" t="s">
        <v>803</v>
      </c>
      <c r="E238" s="23" t="s">
        <v>39</v>
      </c>
      <c r="F238" s="57">
        <v>21</v>
      </c>
      <c r="G238" s="57">
        <v>27</v>
      </c>
      <c r="H238" s="57">
        <v>20</v>
      </c>
      <c r="I238" s="57">
        <v>15</v>
      </c>
      <c r="J238" s="57">
        <v>15</v>
      </c>
      <c r="K238" s="10"/>
    </row>
    <row r="239" spans="1:11" ht="51" customHeight="1" x14ac:dyDescent="0.2">
      <c r="A239" s="243"/>
      <c r="B239" s="242"/>
      <c r="C239" s="147" t="s">
        <v>800</v>
      </c>
      <c r="D239" s="145" t="s">
        <v>302</v>
      </c>
      <c r="E239" s="67" t="s">
        <v>303</v>
      </c>
      <c r="F239" s="57">
        <v>39633.5</v>
      </c>
      <c r="G239" s="57">
        <v>48007.8</v>
      </c>
      <c r="H239" s="57">
        <f>49216.2-27596.72</f>
        <v>21619.479999999996</v>
      </c>
      <c r="I239" s="57">
        <v>21619.47</v>
      </c>
      <c r="J239" s="57">
        <v>21619.47</v>
      </c>
      <c r="K239" s="10"/>
    </row>
    <row r="240" spans="1:11" ht="27.75" customHeight="1" x14ac:dyDescent="0.2">
      <c r="A240" s="243" t="s">
        <v>1341</v>
      </c>
      <c r="B240" s="241" t="s">
        <v>804</v>
      </c>
      <c r="C240" s="147" t="s">
        <v>805</v>
      </c>
      <c r="D240" s="135" t="s">
        <v>806</v>
      </c>
      <c r="E240" s="23" t="s">
        <v>39</v>
      </c>
      <c r="F240" s="57">
        <v>10</v>
      </c>
      <c r="G240" s="57">
        <v>10</v>
      </c>
      <c r="H240" s="57">
        <v>10</v>
      </c>
      <c r="I240" s="57">
        <v>10</v>
      </c>
      <c r="J240" s="57">
        <v>10</v>
      </c>
      <c r="K240" s="10"/>
    </row>
    <row r="241" spans="1:11" ht="57.75" customHeight="1" x14ac:dyDescent="0.2">
      <c r="A241" s="232"/>
      <c r="B241" s="242"/>
      <c r="C241" s="147" t="s">
        <v>800</v>
      </c>
      <c r="D241" s="145" t="s">
        <v>302</v>
      </c>
      <c r="E241" s="67" t="s">
        <v>303</v>
      </c>
      <c r="F241" s="57">
        <v>1836.27</v>
      </c>
      <c r="G241" s="57">
        <v>1836.3</v>
      </c>
      <c r="H241" s="57">
        <v>1836.3</v>
      </c>
      <c r="I241" s="57">
        <v>1836.3</v>
      </c>
      <c r="J241" s="57">
        <v>1836.3</v>
      </c>
      <c r="K241" s="10"/>
    </row>
    <row r="242" spans="1:11" s="117" customFormat="1" ht="23.25" customHeight="1" x14ac:dyDescent="0.25">
      <c r="A242" s="252" t="s">
        <v>796</v>
      </c>
      <c r="B242" s="253"/>
      <c r="C242" s="253"/>
      <c r="D242" s="254"/>
      <c r="E242" s="93" t="s">
        <v>31</v>
      </c>
      <c r="F242" s="94">
        <f t="shared" ref="F242:G242" si="19">F237+F239+F241</f>
        <v>41997.27</v>
      </c>
      <c r="G242" s="94">
        <f t="shared" si="19"/>
        <v>50371.600000000006</v>
      </c>
      <c r="H242" s="94">
        <f>H237+H239+H241</f>
        <v>23983.279999999995</v>
      </c>
      <c r="I242" s="94">
        <f t="shared" ref="I242:J242" si="20">I237+I239+I241</f>
        <v>23983.27</v>
      </c>
      <c r="J242" s="94">
        <f t="shared" si="20"/>
        <v>23983.27</v>
      </c>
      <c r="K242" s="116"/>
    </row>
    <row r="243" spans="1:11" s="119" customFormat="1" ht="22.5" customHeight="1" x14ac:dyDescent="0.25">
      <c r="A243" s="170" t="s">
        <v>1342</v>
      </c>
      <c r="B243" s="213" t="s">
        <v>360</v>
      </c>
      <c r="C243" s="214"/>
      <c r="D243" s="214"/>
      <c r="E243" s="214"/>
      <c r="F243" s="214"/>
      <c r="G243" s="214"/>
      <c r="H243" s="214"/>
      <c r="I243" s="214"/>
      <c r="J243" s="215"/>
      <c r="K243" s="118"/>
    </row>
    <row r="244" spans="1:11" ht="31.5" customHeight="1" x14ac:dyDescent="0.2">
      <c r="A244" s="220" t="s">
        <v>1343</v>
      </c>
      <c r="B244" s="222" t="s">
        <v>378</v>
      </c>
      <c r="C244" s="33" t="s">
        <v>379</v>
      </c>
      <c r="D244" s="149" t="s">
        <v>374</v>
      </c>
      <c r="E244" s="33" t="s">
        <v>367</v>
      </c>
      <c r="F244" s="68">
        <v>1018662</v>
      </c>
      <c r="G244" s="68">
        <v>450334</v>
      </c>
      <c r="H244" s="68">
        <v>707150</v>
      </c>
      <c r="I244" s="68">
        <v>723950</v>
      </c>
      <c r="J244" s="68">
        <v>730450</v>
      </c>
      <c r="K244" s="10"/>
    </row>
    <row r="245" spans="1:11" ht="73.5" customHeight="1" x14ac:dyDescent="0.2">
      <c r="A245" s="221"/>
      <c r="B245" s="223"/>
      <c r="C245" s="33" t="s">
        <v>361</v>
      </c>
      <c r="D245" s="149" t="s">
        <v>302</v>
      </c>
      <c r="E245" s="27" t="s">
        <v>303</v>
      </c>
      <c r="F245" s="68">
        <v>55761.7</v>
      </c>
      <c r="G245" s="68">
        <v>40506.5</v>
      </c>
      <c r="H245" s="68">
        <v>43499.500000000015</v>
      </c>
      <c r="I245" s="68">
        <v>45223.1</v>
      </c>
      <c r="J245" s="68">
        <v>47873.600000000006</v>
      </c>
      <c r="K245" s="10"/>
    </row>
    <row r="246" spans="1:11" ht="31.5" customHeight="1" x14ac:dyDescent="0.2">
      <c r="A246" s="220" t="s">
        <v>1344</v>
      </c>
      <c r="B246" s="222" t="s">
        <v>378</v>
      </c>
      <c r="C246" s="33" t="s">
        <v>379</v>
      </c>
      <c r="D246" s="149" t="s">
        <v>374</v>
      </c>
      <c r="E246" s="33" t="s">
        <v>367</v>
      </c>
      <c r="F246" s="68">
        <v>294713</v>
      </c>
      <c r="G246" s="68">
        <v>142600</v>
      </c>
      <c r="H246" s="68">
        <v>397594</v>
      </c>
      <c r="I246" s="68">
        <v>400908</v>
      </c>
      <c r="J246" s="68">
        <v>407000</v>
      </c>
      <c r="K246" s="10"/>
    </row>
    <row r="247" spans="1:11" ht="141.75" customHeight="1" x14ac:dyDescent="0.2">
      <c r="A247" s="221"/>
      <c r="B247" s="223"/>
      <c r="C247" s="33" t="s">
        <v>362</v>
      </c>
      <c r="D247" s="149" t="s">
        <v>302</v>
      </c>
      <c r="E247" s="27" t="s">
        <v>303</v>
      </c>
      <c r="F247" s="68">
        <v>8528.7999999999993</v>
      </c>
      <c r="G247" s="68">
        <v>19118.3</v>
      </c>
      <c r="H247" s="68">
        <v>20426.400000000001</v>
      </c>
      <c r="I247" s="68">
        <v>21224.700000000004</v>
      </c>
      <c r="J247" s="68">
        <v>21180.300000000003</v>
      </c>
      <c r="K247" s="10"/>
    </row>
    <row r="248" spans="1:11" ht="31.5" customHeight="1" x14ac:dyDescent="0.2">
      <c r="A248" s="220" t="s">
        <v>1345</v>
      </c>
      <c r="B248" s="222" t="s">
        <v>380</v>
      </c>
      <c r="C248" s="33" t="s">
        <v>381</v>
      </c>
      <c r="D248" s="149" t="s">
        <v>374</v>
      </c>
      <c r="E248" s="33" t="s">
        <v>367</v>
      </c>
      <c r="F248" s="68">
        <v>923149</v>
      </c>
      <c r="G248" s="68">
        <v>736548</v>
      </c>
      <c r="H248" s="68">
        <v>1027520</v>
      </c>
      <c r="I248" s="68">
        <v>1062300</v>
      </c>
      <c r="J248" s="68">
        <v>1069300</v>
      </c>
      <c r="K248" s="10"/>
    </row>
    <row r="249" spans="1:11" ht="51" x14ac:dyDescent="0.2">
      <c r="A249" s="221"/>
      <c r="B249" s="223"/>
      <c r="C249" s="33" t="s">
        <v>361</v>
      </c>
      <c r="D249" s="149" t="s">
        <v>302</v>
      </c>
      <c r="E249" s="27" t="s">
        <v>303</v>
      </c>
      <c r="F249" s="68">
        <v>59782.799999999996</v>
      </c>
      <c r="G249" s="68">
        <v>50690.099999999991</v>
      </c>
      <c r="H249" s="68">
        <v>53280.799999999981</v>
      </c>
      <c r="I249" s="68">
        <v>55672.7</v>
      </c>
      <c r="J249" s="68">
        <v>58986.19999999999</v>
      </c>
      <c r="K249" s="10"/>
    </row>
    <row r="250" spans="1:11" ht="15.75" x14ac:dyDescent="0.2">
      <c r="A250" s="220" t="s">
        <v>1346</v>
      </c>
      <c r="B250" s="222" t="s">
        <v>380</v>
      </c>
      <c r="C250" s="33" t="s">
        <v>381</v>
      </c>
      <c r="D250" s="149" t="s">
        <v>374</v>
      </c>
      <c r="E250" s="33" t="s">
        <v>367</v>
      </c>
      <c r="F250" s="68">
        <v>571792</v>
      </c>
      <c r="G250" s="68">
        <v>505400</v>
      </c>
      <c r="H250" s="68">
        <v>752406</v>
      </c>
      <c r="I250" s="68">
        <v>799092</v>
      </c>
      <c r="J250" s="68">
        <v>815000</v>
      </c>
      <c r="K250" s="10"/>
    </row>
    <row r="251" spans="1:11" ht="51" x14ac:dyDescent="0.2">
      <c r="A251" s="221"/>
      <c r="B251" s="223"/>
      <c r="C251" s="33" t="s">
        <v>362</v>
      </c>
      <c r="D251" s="149" t="s">
        <v>302</v>
      </c>
      <c r="E251" s="27" t="s">
        <v>303</v>
      </c>
      <c r="F251" s="68">
        <v>13863.100000000002</v>
      </c>
      <c r="G251" s="68">
        <v>34684.400000000001</v>
      </c>
      <c r="H251" s="68">
        <v>37041.300000000003</v>
      </c>
      <c r="I251" s="68">
        <v>38603.599999999999</v>
      </c>
      <c r="J251" s="68">
        <v>38921</v>
      </c>
      <c r="K251" s="10"/>
    </row>
    <row r="252" spans="1:11" ht="15.75" x14ac:dyDescent="0.2">
      <c r="A252" s="220" t="s">
        <v>1347</v>
      </c>
      <c r="B252" s="222" t="s">
        <v>382</v>
      </c>
      <c r="C252" s="33" t="s">
        <v>383</v>
      </c>
      <c r="D252" s="40" t="s">
        <v>377</v>
      </c>
      <c r="E252" s="33" t="s">
        <v>371</v>
      </c>
      <c r="F252" s="68">
        <v>187</v>
      </c>
      <c r="G252" s="68">
        <v>174</v>
      </c>
      <c r="H252" s="68">
        <v>188</v>
      </c>
      <c r="I252" s="68">
        <v>203</v>
      </c>
      <c r="J252" s="68">
        <v>214</v>
      </c>
      <c r="K252" s="10"/>
    </row>
    <row r="253" spans="1:11" ht="51" x14ac:dyDescent="0.2">
      <c r="A253" s="221"/>
      <c r="B253" s="223"/>
      <c r="C253" s="33" t="s">
        <v>361</v>
      </c>
      <c r="D253" s="149" t="s">
        <v>302</v>
      </c>
      <c r="E253" s="27" t="s">
        <v>303</v>
      </c>
      <c r="F253" s="68">
        <v>7833.9000000000015</v>
      </c>
      <c r="G253" s="68">
        <v>6654.1</v>
      </c>
      <c r="H253" s="68">
        <v>7466.6</v>
      </c>
      <c r="I253" s="68">
        <v>7651.8000000000011</v>
      </c>
      <c r="J253" s="68">
        <v>8086.9000000000015</v>
      </c>
      <c r="K253" s="10"/>
    </row>
    <row r="254" spans="1:11" ht="15.75" x14ac:dyDescent="0.2">
      <c r="A254" s="220" t="s">
        <v>1348</v>
      </c>
      <c r="B254" s="222" t="s">
        <v>384</v>
      </c>
      <c r="C254" s="33" t="s">
        <v>383</v>
      </c>
      <c r="D254" s="40" t="s">
        <v>377</v>
      </c>
      <c r="E254" s="33" t="s">
        <v>371</v>
      </c>
      <c r="F254" s="68">
        <v>11</v>
      </c>
      <c r="G254" s="68">
        <v>27</v>
      </c>
      <c r="H254" s="68">
        <v>28</v>
      </c>
      <c r="I254" s="68">
        <v>30</v>
      </c>
      <c r="J254" s="68">
        <v>31</v>
      </c>
      <c r="K254" s="10"/>
    </row>
    <row r="255" spans="1:11" ht="51" x14ac:dyDescent="0.2">
      <c r="A255" s="221"/>
      <c r="B255" s="223"/>
      <c r="C255" s="33" t="s">
        <v>362</v>
      </c>
      <c r="D255" s="149" t="s">
        <v>302</v>
      </c>
      <c r="E255" s="27" t="s">
        <v>303</v>
      </c>
      <c r="F255" s="68">
        <v>2758.2000000000003</v>
      </c>
      <c r="G255" s="68">
        <v>4140.5</v>
      </c>
      <c r="H255" s="68">
        <v>4429.3999999999996</v>
      </c>
      <c r="I255" s="68">
        <v>4542.8</v>
      </c>
      <c r="J255" s="68">
        <v>4323.6000000000004</v>
      </c>
      <c r="K255" s="10"/>
    </row>
    <row r="256" spans="1:11" ht="15.75" x14ac:dyDescent="0.2">
      <c r="A256" s="220" t="s">
        <v>1349</v>
      </c>
      <c r="B256" s="222" t="s">
        <v>385</v>
      </c>
      <c r="C256" s="33" t="s">
        <v>386</v>
      </c>
      <c r="D256" s="40" t="s">
        <v>377</v>
      </c>
      <c r="E256" s="33" t="s">
        <v>371</v>
      </c>
      <c r="F256" s="68">
        <v>9</v>
      </c>
      <c r="G256" s="68">
        <v>13</v>
      </c>
      <c r="H256" s="68">
        <v>21</v>
      </c>
      <c r="I256" s="68">
        <v>22</v>
      </c>
      <c r="J256" s="68">
        <v>30</v>
      </c>
      <c r="K256" s="10"/>
    </row>
    <row r="257" spans="1:11" ht="51" x14ac:dyDescent="0.2">
      <c r="A257" s="221"/>
      <c r="B257" s="223"/>
      <c r="C257" s="33" t="s">
        <v>361</v>
      </c>
      <c r="D257" s="149" t="s">
        <v>302</v>
      </c>
      <c r="E257" s="27" t="s">
        <v>303</v>
      </c>
      <c r="F257" s="68">
        <v>1173.0999999999999</v>
      </c>
      <c r="G257" s="68">
        <v>1441.7000000000003</v>
      </c>
      <c r="H257" s="68">
        <v>1520.1000000000001</v>
      </c>
      <c r="I257" s="68">
        <v>1472.3000000000002</v>
      </c>
      <c r="J257" s="68">
        <v>1560.3999999999999</v>
      </c>
      <c r="K257" s="10"/>
    </row>
    <row r="258" spans="1:11" ht="15.75" x14ac:dyDescent="0.2">
      <c r="A258" s="220" t="s">
        <v>1350</v>
      </c>
      <c r="B258" s="222" t="s">
        <v>387</v>
      </c>
      <c r="C258" s="33" t="s">
        <v>386</v>
      </c>
      <c r="D258" s="40" t="s">
        <v>377</v>
      </c>
      <c r="E258" s="33" t="s">
        <v>371</v>
      </c>
      <c r="F258" s="68">
        <v>2</v>
      </c>
      <c r="G258" s="68">
        <v>2</v>
      </c>
      <c r="H258" s="68">
        <v>4</v>
      </c>
      <c r="I258" s="68">
        <v>5</v>
      </c>
      <c r="J258" s="68">
        <v>5</v>
      </c>
      <c r="K258" s="10"/>
    </row>
    <row r="259" spans="1:11" ht="51" x14ac:dyDescent="0.2">
      <c r="A259" s="221"/>
      <c r="B259" s="223"/>
      <c r="C259" s="33" t="s">
        <v>362</v>
      </c>
      <c r="D259" s="149" t="s">
        <v>302</v>
      </c>
      <c r="E259" s="27" t="s">
        <v>303</v>
      </c>
      <c r="F259" s="68">
        <v>466</v>
      </c>
      <c r="G259" s="68">
        <v>500.9</v>
      </c>
      <c r="H259" s="68">
        <v>535.5</v>
      </c>
      <c r="I259" s="68">
        <v>552.40000000000009</v>
      </c>
      <c r="J259" s="68">
        <v>537</v>
      </c>
      <c r="K259" s="10"/>
    </row>
    <row r="260" spans="1:11" ht="15.75" x14ac:dyDescent="0.2">
      <c r="A260" s="220" t="s">
        <v>1351</v>
      </c>
      <c r="B260" s="222" t="s">
        <v>388</v>
      </c>
      <c r="C260" s="33" t="s">
        <v>389</v>
      </c>
      <c r="D260" s="40" t="s">
        <v>390</v>
      </c>
      <c r="E260" s="33" t="s">
        <v>371</v>
      </c>
      <c r="F260" s="68">
        <v>614483</v>
      </c>
      <c r="G260" s="68">
        <v>622230</v>
      </c>
      <c r="H260" s="68">
        <v>626882</v>
      </c>
      <c r="I260" s="68">
        <v>633227</v>
      </c>
      <c r="J260" s="68">
        <v>637030</v>
      </c>
      <c r="K260" s="10"/>
    </row>
    <row r="261" spans="1:11" ht="51" x14ac:dyDescent="0.2">
      <c r="A261" s="221"/>
      <c r="B261" s="223"/>
      <c r="C261" s="33" t="s">
        <v>361</v>
      </c>
      <c r="D261" s="149" t="s">
        <v>302</v>
      </c>
      <c r="E261" s="27" t="s">
        <v>303</v>
      </c>
      <c r="F261" s="68">
        <v>81698.399999999994</v>
      </c>
      <c r="G261" s="68">
        <v>79346.8</v>
      </c>
      <c r="H261" s="68">
        <v>83596.800000000003</v>
      </c>
      <c r="I261" s="68">
        <v>84985.1</v>
      </c>
      <c r="J261" s="68">
        <v>89784</v>
      </c>
      <c r="K261" s="10"/>
    </row>
    <row r="262" spans="1:11" ht="15.75" x14ac:dyDescent="0.2">
      <c r="A262" s="220" t="s">
        <v>1352</v>
      </c>
      <c r="B262" s="222" t="s">
        <v>388</v>
      </c>
      <c r="C262" s="33" t="s">
        <v>389</v>
      </c>
      <c r="D262" s="40" t="s">
        <v>390</v>
      </c>
      <c r="E262" s="33" t="s">
        <v>371</v>
      </c>
      <c r="F262" s="68">
        <v>31712</v>
      </c>
      <c r="G262" s="68">
        <v>31890</v>
      </c>
      <c r="H262" s="68">
        <v>31965</v>
      </c>
      <c r="I262" s="68">
        <v>32090</v>
      </c>
      <c r="J262" s="68">
        <v>32170</v>
      </c>
      <c r="K262" s="10"/>
    </row>
    <row r="263" spans="1:11" ht="51" x14ac:dyDescent="0.2">
      <c r="A263" s="221"/>
      <c r="B263" s="223"/>
      <c r="C263" s="33" t="s">
        <v>362</v>
      </c>
      <c r="D263" s="149" t="s">
        <v>302</v>
      </c>
      <c r="E263" s="27" t="s">
        <v>303</v>
      </c>
      <c r="F263" s="68">
        <v>7319.5000000000018</v>
      </c>
      <c r="G263" s="68">
        <v>12876.3</v>
      </c>
      <c r="H263" s="68">
        <v>13742.800000000001</v>
      </c>
      <c r="I263" s="68">
        <v>14404.900000000001</v>
      </c>
      <c r="J263" s="68">
        <v>14811.7</v>
      </c>
      <c r="K263" s="10"/>
    </row>
    <row r="264" spans="1:11" ht="15.75" x14ac:dyDescent="0.2">
      <c r="A264" s="220" t="s">
        <v>1353</v>
      </c>
      <c r="B264" s="222" t="s">
        <v>363</v>
      </c>
      <c r="C264" s="33" t="s">
        <v>391</v>
      </c>
      <c r="D264" s="40" t="s">
        <v>374</v>
      </c>
      <c r="E264" s="33" t="s">
        <v>367</v>
      </c>
      <c r="F264" s="68">
        <v>1942770</v>
      </c>
      <c r="G264" s="68">
        <v>1186882</v>
      </c>
      <c r="H264" s="68">
        <v>1734670</v>
      </c>
      <c r="I264" s="68">
        <v>1786250</v>
      </c>
      <c r="J264" s="68">
        <v>1799750</v>
      </c>
      <c r="K264" s="10"/>
    </row>
    <row r="265" spans="1:11" ht="51" x14ac:dyDescent="0.2">
      <c r="A265" s="221"/>
      <c r="B265" s="223"/>
      <c r="C265" s="33" t="s">
        <v>361</v>
      </c>
      <c r="D265" s="149" t="s">
        <v>302</v>
      </c>
      <c r="E265" s="27" t="s">
        <v>303</v>
      </c>
      <c r="F265" s="68">
        <v>71611.5</v>
      </c>
      <c r="G265" s="68">
        <v>50607</v>
      </c>
      <c r="H265" s="68">
        <v>53241</v>
      </c>
      <c r="I265" s="68">
        <v>54995.899999999994</v>
      </c>
      <c r="J265" s="68">
        <v>58024.1</v>
      </c>
      <c r="K265" s="10"/>
    </row>
    <row r="266" spans="1:11" ht="15.75" x14ac:dyDescent="0.2">
      <c r="A266" s="220" t="s">
        <v>1354</v>
      </c>
      <c r="B266" s="222" t="s">
        <v>363</v>
      </c>
      <c r="C266" s="33" t="s">
        <v>391</v>
      </c>
      <c r="D266" s="40" t="s">
        <v>374</v>
      </c>
      <c r="E266" s="33" t="s">
        <v>367</v>
      </c>
      <c r="F266" s="68">
        <v>866505</v>
      </c>
      <c r="G266" s="68">
        <v>648000</v>
      </c>
      <c r="H266" s="68">
        <v>1150000</v>
      </c>
      <c r="I266" s="68">
        <v>1200000</v>
      </c>
      <c r="J266" s="68">
        <v>1222000</v>
      </c>
      <c r="K266" s="10"/>
    </row>
    <row r="267" spans="1:11" ht="51" x14ac:dyDescent="0.2">
      <c r="A267" s="221"/>
      <c r="B267" s="223"/>
      <c r="C267" s="33" t="s">
        <v>362</v>
      </c>
      <c r="D267" s="149" t="s">
        <v>302</v>
      </c>
      <c r="E267" s="27" t="s">
        <v>303</v>
      </c>
      <c r="F267" s="68">
        <v>23592</v>
      </c>
      <c r="G267" s="68">
        <v>49974.400000000001</v>
      </c>
      <c r="H267" s="68">
        <v>53383.9</v>
      </c>
      <c r="I267" s="68">
        <v>55501.1</v>
      </c>
      <c r="J267" s="68">
        <v>55487.6</v>
      </c>
      <c r="K267" s="10"/>
    </row>
    <row r="268" spans="1:11" ht="25.5" x14ac:dyDescent="0.2">
      <c r="A268" s="220" t="s">
        <v>1355</v>
      </c>
      <c r="B268" s="222" t="s">
        <v>392</v>
      </c>
      <c r="C268" s="33" t="s">
        <v>393</v>
      </c>
      <c r="D268" s="40" t="s">
        <v>394</v>
      </c>
      <c r="E268" s="33" t="s">
        <v>371</v>
      </c>
      <c r="F268" s="68">
        <v>270</v>
      </c>
      <c r="G268" s="68">
        <v>254</v>
      </c>
      <c r="H268" s="68">
        <v>255</v>
      </c>
      <c r="I268" s="68">
        <v>268</v>
      </c>
      <c r="J268" s="68">
        <v>268</v>
      </c>
      <c r="K268" s="10"/>
    </row>
    <row r="269" spans="1:11" ht="51" x14ac:dyDescent="0.2">
      <c r="A269" s="221"/>
      <c r="B269" s="223"/>
      <c r="C269" s="33" t="s">
        <v>361</v>
      </c>
      <c r="D269" s="149" t="s">
        <v>302</v>
      </c>
      <c r="E269" s="27" t="s">
        <v>303</v>
      </c>
      <c r="F269" s="68">
        <v>29065.899999999998</v>
      </c>
      <c r="G269" s="68">
        <v>28119.100000000002</v>
      </c>
      <c r="H269" s="68">
        <v>30113.099999999995</v>
      </c>
      <c r="I269" s="68">
        <v>29827.8</v>
      </c>
      <c r="J269" s="68">
        <v>31542.099999999995</v>
      </c>
      <c r="K269" s="10"/>
    </row>
    <row r="270" spans="1:11" ht="25.5" x14ac:dyDescent="0.2">
      <c r="A270" s="220" t="s">
        <v>1356</v>
      </c>
      <c r="B270" s="222" t="s">
        <v>392</v>
      </c>
      <c r="C270" s="33" t="s">
        <v>393</v>
      </c>
      <c r="D270" s="40" t="s">
        <v>394</v>
      </c>
      <c r="E270" s="33" t="s">
        <v>371</v>
      </c>
      <c r="F270" s="68">
        <v>156</v>
      </c>
      <c r="G270" s="68">
        <v>156</v>
      </c>
      <c r="H270" s="68">
        <v>156</v>
      </c>
      <c r="I270" s="68">
        <v>156</v>
      </c>
      <c r="J270" s="68">
        <v>156</v>
      </c>
      <c r="K270" s="10"/>
    </row>
    <row r="271" spans="1:11" ht="51" x14ac:dyDescent="0.2">
      <c r="A271" s="221"/>
      <c r="B271" s="223"/>
      <c r="C271" s="33" t="s">
        <v>362</v>
      </c>
      <c r="D271" s="149" t="s">
        <v>302</v>
      </c>
      <c r="E271" s="27" t="s">
        <v>303</v>
      </c>
      <c r="F271" s="68">
        <v>3619.4999999999995</v>
      </c>
      <c r="G271" s="68">
        <v>4461.7</v>
      </c>
      <c r="H271" s="68">
        <v>4775.5</v>
      </c>
      <c r="I271" s="68">
        <v>4872.7</v>
      </c>
      <c r="J271" s="68">
        <v>4548.6000000000004</v>
      </c>
      <c r="K271" s="10"/>
    </row>
    <row r="272" spans="1:11" ht="15.75" x14ac:dyDescent="0.2">
      <c r="A272" s="220" t="s">
        <v>1357</v>
      </c>
      <c r="B272" s="222" t="s">
        <v>395</v>
      </c>
      <c r="C272" s="33" t="s">
        <v>396</v>
      </c>
      <c r="D272" s="40" t="s">
        <v>375</v>
      </c>
      <c r="E272" s="33" t="s">
        <v>397</v>
      </c>
      <c r="F272" s="68">
        <v>10478132.6</v>
      </c>
      <c r="G272" s="68">
        <v>10478132.6</v>
      </c>
      <c r="H272" s="68">
        <v>15832590</v>
      </c>
      <c r="I272" s="68">
        <v>15832590</v>
      </c>
      <c r="J272" s="68">
        <v>15832590</v>
      </c>
      <c r="K272" s="10"/>
    </row>
    <row r="273" spans="1:11" ht="51" x14ac:dyDescent="0.2">
      <c r="A273" s="221"/>
      <c r="B273" s="223"/>
      <c r="C273" s="33" t="s">
        <v>361</v>
      </c>
      <c r="D273" s="149" t="s">
        <v>302</v>
      </c>
      <c r="E273" s="27" t="s">
        <v>303</v>
      </c>
      <c r="F273" s="68">
        <v>22227</v>
      </c>
      <c r="G273" s="68">
        <v>19850.500000000004</v>
      </c>
      <c r="H273" s="68">
        <v>20880.599999999999</v>
      </c>
      <c r="I273" s="68">
        <v>20083.3</v>
      </c>
      <c r="J273" s="68">
        <v>21335.399999999998</v>
      </c>
      <c r="K273" s="10"/>
    </row>
    <row r="274" spans="1:11" ht="15.75" x14ac:dyDescent="0.2">
      <c r="A274" s="220" t="s">
        <v>1358</v>
      </c>
      <c r="B274" s="222" t="s">
        <v>395</v>
      </c>
      <c r="C274" s="33" t="s">
        <v>396</v>
      </c>
      <c r="D274" s="40" t="s">
        <v>375</v>
      </c>
      <c r="E274" s="33" t="s">
        <v>397</v>
      </c>
      <c r="F274" s="68">
        <v>744577</v>
      </c>
      <c r="G274" s="68">
        <v>749453</v>
      </c>
      <c r="H274" s="68">
        <v>749453</v>
      </c>
      <c r="I274" s="68">
        <v>749453</v>
      </c>
      <c r="J274" s="68">
        <v>749453</v>
      </c>
      <c r="K274" s="10"/>
    </row>
    <row r="275" spans="1:11" ht="51" x14ac:dyDescent="0.2">
      <c r="A275" s="221"/>
      <c r="B275" s="223"/>
      <c r="C275" s="33" t="s">
        <v>362</v>
      </c>
      <c r="D275" s="149" t="s">
        <v>302</v>
      </c>
      <c r="E275" s="27" t="s">
        <v>303</v>
      </c>
      <c r="F275" s="68">
        <v>6929.3000000000011</v>
      </c>
      <c r="G275" s="68">
        <v>10551</v>
      </c>
      <c r="H275" s="68">
        <v>11271.400000000001</v>
      </c>
      <c r="I275" s="68">
        <v>11713.2</v>
      </c>
      <c r="J275" s="68">
        <v>11692.3</v>
      </c>
      <c r="K275" s="10"/>
    </row>
    <row r="276" spans="1:11" ht="15.75" x14ac:dyDescent="0.2">
      <c r="A276" s="220" t="s">
        <v>1359</v>
      </c>
      <c r="B276" s="222" t="s">
        <v>398</v>
      </c>
      <c r="C276" s="33" t="s">
        <v>399</v>
      </c>
      <c r="D276" s="40" t="s">
        <v>390</v>
      </c>
      <c r="E276" s="33" t="s">
        <v>371</v>
      </c>
      <c r="F276" s="68">
        <v>1028</v>
      </c>
      <c r="G276" s="68">
        <v>960</v>
      </c>
      <c r="H276" s="68">
        <v>1051</v>
      </c>
      <c r="I276" s="68">
        <v>1065</v>
      </c>
      <c r="J276" s="68">
        <v>1095</v>
      </c>
      <c r="K276" s="10"/>
    </row>
    <row r="277" spans="1:11" ht="51" x14ac:dyDescent="0.2">
      <c r="A277" s="221"/>
      <c r="B277" s="223"/>
      <c r="C277" s="33" t="s">
        <v>361</v>
      </c>
      <c r="D277" s="149" t="s">
        <v>302</v>
      </c>
      <c r="E277" s="27" t="s">
        <v>303</v>
      </c>
      <c r="F277" s="68">
        <v>10691.3</v>
      </c>
      <c r="G277" s="68">
        <v>10841.5</v>
      </c>
      <c r="H277" s="68">
        <v>11391.199999999999</v>
      </c>
      <c r="I277" s="68">
        <v>10731.800000000001</v>
      </c>
      <c r="J277" s="68">
        <v>11420.199999999999</v>
      </c>
      <c r="K277" s="10"/>
    </row>
    <row r="278" spans="1:11" ht="63" x14ac:dyDescent="0.2">
      <c r="A278" s="220" t="s">
        <v>1360</v>
      </c>
      <c r="B278" s="222" t="s">
        <v>400</v>
      </c>
      <c r="C278" s="33" t="s">
        <v>401</v>
      </c>
      <c r="D278" s="40" t="s">
        <v>280</v>
      </c>
      <c r="E278" s="33" t="s">
        <v>23</v>
      </c>
      <c r="F278" s="68">
        <v>351489</v>
      </c>
      <c r="G278" s="68">
        <v>347800</v>
      </c>
      <c r="H278" s="68">
        <v>362800</v>
      </c>
      <c r="I278" s="68">
        <v>367600</v>
      </c>
      <c r="J278" s="68">
        <v>372400</v>
      </c>
      <c r="K278" s="10"/>
    </row>
    <row r="279" spans="1:11" ht="57.75" customHeight="1" x14ac:dyDescent="0.2">
      <c r="A279" s="221"/>
      <c r="B279" s="223"/>
      <c r="C279" s="33" t="s">
        <v>361</v>
      </c>
      <c r="D279" s="149" t="s">
        <v>302</v>
      </c>
      <c r="E279" s="27" t="s">
        <v>303</v>
      </c>
      <c r="F279" s="68">
        <v>60979.100000000006</v>
      </c>
      <c r="G279" s="68">
        <v>64957.5</v>
      </c>
      <c r="H279" s="68">
        <v>70788.3</v>
      </c>
      <c r="I279" s="68">
        <v>75188.399999999994</v>
      </c>
      <c r="J279" s="68">
        <v>79272.5</v>
      </c>
      <c r="K279" s="10"/>
    </row>
    <row r="280" spans="1:11" ht="31.5" x14ac:dyDescent="0.2">
      <c r="A280" s="220" t="s">
        <v>1361</v>
      </c>
      <c r="B280" s="222" t="s">
        <v>402</v>
      </c>
      <c r="C280" s="33" t="s">
        <v>403</v>
      </c>
      <c r="D280" s="40" t="s">
        <v>280</v>
      </c>
      <c r="E280" s="33" t="s">
        <v>23</v>
      </c>
      <c r="F280" s="68">
        <v>221603</v>
      </c>
      <c r="G280" s="68">
        <v>224720</v>
      </c>
      <c r="H280" s="68">
        <v>224110</v>
      </c>
      <c r="I280" s="68">
        <v>225240</v>
      </c>
      <c r="J280" s="68">
        <v>226170</v>
      </c>
      <c r="K280" s="10"/>
    </row>
    <row r="281" spans="1:11" ht="57" customHeight="1" x14ac:dyDescent="0.2">
      <c r="A281" s="221"/>
      <c r="B281" s="223"/>
      <c r="C281" s="33" t="s">
        <v>361</v>
      </c>
      <c r="D281" s="149" t="s">
        <v>302</v>
      </c>
      <c r="E281" s="27" t="s">
        <v>303</v>
      </c>
      <c r="F281" s="68">
        <v>7918.8</v>
      </c>
      <c r="G281" s="68">
        <v>8415.6</v>
      </c>
      <c r="H281" s="68">
        <v>9209.7000000000007</v>
      </c>
      <c r="I281" s="68">
        <v>9792.8000000000011</v>
      </c>
      <c r="J281" s="68">
        <v>10320.4</v>
      </c>
      <c r="K281" s="10"/>
    </row>
    <row r="282" spans="1:11" ht="63" x14ac:dyDescent="0.2">
      <c r="A282" s="220" t="s">
        <v>1362</v>
      </c>
      <c r="B282" s="222" t="s">
        <v>404</v>
      </c>
      <c r="C282" s="33" t="s">
        <v>405</v>
      </c>
      <c r="D282" s="40" t="s">
        <v>280</v>
      </c>
      <c r="E282" s="33" t="s">
        <v>23</v>
      </c>
      <c r="F282" s="68">
        <v>2032</v>
      </c>
      <c r="G282" s="68">
        <v>2020</v>
      </c>
      <c r="H282" s="68">
        <v>800</v>
      </c>
      <c r="I282" s="68">
        <v>800</v>
      </c>
      <c r="J282" s="68">
        <v>800</v>
      </c>
      <c r="K282" s="10"/>
    </row>
    <row r="283" spans="1:11" ht="57.75" customHeight="1" x14ac:dyDescent="0.2">
      <c r="A283" s="221"/>
      <c r="B283" s="223"/>
      <c r="C283" s="33" t="s">
        <v>361</v>
      </c>
      <c r="D283" s="149" t="s">
        <v>302</v>
      </c>
      <c r="E283" s="27" t="s">
        <v>303</v>
      </c>
      <c r="F283" s="68">
        <v>2135.1</v>
      </c>
      <c r="G283" s="68">
        <v>2329.6</v>
      </c>
      <c r="H283" s="68">
        <v>2514.3000000000002</v>
      </c>
      <c r="I283" s="68">
        <v>2684.3</v>
      </c>
      <c r="J283" s="68">
        <v>2833.5</v>
      </c>
      <c r="K283" s="10"/>
    </row>
    <row r="284" spans="1:11" ht="15.75" x14ac:dyDescent="0.2">
      <c r="A284" s="220" t="s">
        <v>1374</v>
      </c>
      <c r="B284" s="222" t="s">
        <v>406</v>
      </c>
      <c r="C284" s="33" t="s">
        <v>407</v>
      </c>
      <c r="D284" s="40" t="s">
        <v>408</v>
      </c>
      <c r="E284" s="33" t="s">
        <v>23</v>
      </c>
      <c r="F284" s="68">
        <v>1431160</v>
      </c>
      <c r="G284" s="68">
        <v>1441189</v>
      </c>
      <c r="H284" s="68">
        <v>1447942</v>
      </c>
      <c r="I284" s="68">
        <v>1455450</v>
      </c>
      <c r="J284" s="68">
        <v>1460133</v>
      </c>
      <c r="K284" s="10"/>
    </row>
    <row r="285" spans="1:11" ht="51.75" customHeight="1" x14ac:dyDescent="0.2">
      <c r="A285" s="221"/>
      <c r="B285" s="223"/>
      <c r="C285" s="33" t="s">
        <v>361</v>
      </c>
      <c r="D285" s="149" t="s">
        <v>302</v>
      </c>
      <c r="E285" s="27" t="s">
        <v>303</v>
      </c>
      <c r="F285" s="68">
        <v>32873.799999999996</v>
      </c>
      <c r="G285" s="68">
        <v>33993.1</v>
      </c>
      <c r="H285" s="68">
        <v>36836.100000000006</v>
      </c>
      <c r="I285" s="68">
        <v>38785.600000000006</v>
      </c>
      <c r="J285" s="68">
        <v>36782.400000000001</v>
      </c>
      <c r="K285" s="10"/>
    </row>
    <row r="286" spans="1:11" ht="15.75" x14ac:dyDescent="0.2">
      <c r="A286" s="220" t="s">
        <v>1364</v>
      </c>
      <c r="B286" s="222" t="s">
        <v>409</v>
      </c>
      <c r="C286" s="33" t="s">
        <v>407</v>
      </c>
      <c r="D286" s="40" t="s">
        <v>408</v>
      </c>
      <c r="E286" s="33" t="s">
        <v>371</v>
      </c>
      <c r="F286" s="68">
        <v>10268</v>
      </c>
      <c r="G286" s="68">
        <v>10270</v>
      </c>
      <c r="H286" s="68">
        <v>10270</v>
      </c>
      <c r="I286" s="68">
        <v>10290</v>
      </c>
      <c r="J286" s="68">
        <v>10300</v>
      </c>
      <c r="K286" s="10"/>
    </row>
    <row r="287" spans="1:11" ht="55.5" customHeight="1" x14ac:dyDescent="0.2">
      <c r="A287" s="221"/>
      <c r="B287" s="223"/>
      <c r="C287" s="33" t="s">
        <v>362</v>
      </c>
      <c r="D287" s="149" t="s">
        <v>302</v>
      </c>
      <c r="E287" s="27" t="s">
        <v>303</v>
      </c>
      <c r="F287" s="68">
        <v>801.6</v>
      </c>
      <c r="G287" s="68">
        <v>1646.3</v>
      </c>
      <c r="H287" s="68">
        <v>1755</v>
      </c>
      <c r="I287" s="68">
        <v>1860.3</v>
      </c>
      <c r="J287" s="68">
        <v>1984.9</v>
      </c>
      <c r="K287" s="10"/>
    </row>
    <row r="288" spans="1:11" ht="54.75" customHeight="1" x14ac:dyDescent="0.2">
      <c r="A288" s="220" t="s">
        <v>1365</v>
      </c>
      <c r="B288" s="222" t="s">
        <v>410</v>
      </c>
      <c r="C288" s="33" t="s">
        <v>411</v>
      </c>
      <c r="D288" s="40" t="s">
        <v>412</v>
      </c>
      <c r="E288" s="33" t="s">
        <v>23</v>
      </c>
      <c r="F288" s="68">
        <v>23081</v>
      </c>
      <c r="G288" s="68">
        <v>21620</v>
      </c>
      <c r="H288" s="68">
        <v>21820</v>
      </c>
      <c r="I288" s="68">
        <v>21920</v>
      </c>
      <c r="J288" s="68">
        <v>21970</v>
      </c>
      <c r="K288" s="10"/>
    </row>
    <row r="289" spans="1:11" ht="59.25" customHeight="1" x14ac:dyDescent="0.2">
      <c r="A289" s="221"/>
      <c r="B289" s="223"/>
      <c r="C289" s="33" t="s">
        <v>361</v>
      </c>
      <c r="D289" s="149" t="s">
        <v>302</v>
      </c>
      <c r="E289" s="27" t="s">
        <v>303</v>
      </c>
      <c r="F289" s="68">
        <v>13661.000000000002</v>
      </c>
      <c r="G289" s="68">
        <v>14570.5</v>
      </c>
      <c r="H289" s="68">
        <v>15821.3</v>
      </c>
      <c r="I289" s="68">
        <v>16806.8</v>
      </c>
      <c r="J289" s="68">
        <v>17718.8</v>
      </c>
      <c r="K289" s="10"/>
    </row>
    <row r="290" spans="1:11" ht="47.25" x14ac:dyDescent="0.2">
      <c r="A290" s="220" t="s">
        <v>1366</v>
      </c>
      <c r="B290" s="222" t="s">
        <v>413</v>
      </c>
      <c r="C290" s="33" t="s">
        <v>414</v>
      </c>
      <c r="D290" s="40" t="s">
        <v>415</v>
      </c>
      <c r="E290" s="33" t="s">
        <v>23</v>
      </c>
      <c r="F290" s="68">
        <v>500</v>
      </c>
      <c r="G290" s="68">
        <v>500</v>
      </c>
      <c r="H290" s="68">
        <v>500</v>
      </c>
      <c r="I290" s="68">
        <v>500</v>
      </c>
      <c r="J290" s="68">
        <v>500</v>
      </c>
      <c r="K290" s="10"/>
    </row>
    <row r="291" spans="1:11" ht="51" x14ac:dyDescent="0.2">
      <c r="A291" s="221"/>
      <c r="B291" s="223"/>
      <c r="C291" s="33" t="s">
        <v>361</v>
      </c>
      <c r="D291" s="149" t="s">
        <v>302</v>
      </c>
      <c r="E291" s="27" t="s">
        <v>303</v>
      </c>
      <c r="F291" s="68">
        <v>328.4</v>
      </c>
      <c r="G291" s="68">
        <v>346.1</v>
      </c>
      <c r="H291" s="68">
        <v>382.4</v>
      </c>
      <c r="I291" s="68">
        <v>406.8</v>
      </c>
      <c r="J291" s="68">
        <v>428.4</v>
      </c>
      <c r="K291" s="10"/>
    </row>
    <row r="292" spans="1:11" ht="15.75" x14ac:dyDescent="0.2">
      <c r="A292" s="220" t="s">
        <v>1367</v>
      </c>
      <c r="B292" s="222" t="s">
        <v>416</v>
      </c>
      <c r="C292" s="33" t="s">
        <v>417</v>
      </c>
      <c r="D292" s="40" t="s">
        <v>316</v>
      </c>
      <c r="E292" s="33" t="s">
        <v>23</v>
      </c>
      <c r="F292" s="68">
        <v>32</v>
      </c>
      <c r="G292" s="68">
        <v>34</v>
      </c>
      <c r="H292" s="68">
        <v>34</v>
      </c>
      <c r="I292" s="68">
        <v>34</v>
      </c>
      <c r="J292" s="68">
        <v>34</v>
      </c>
      <c r="K292" s="10"/>
    </row>
    <row r="293" spans="1:11" ht="51" x14ac:dyDescent="0.2">
      <c r="A293" s="221"/>
      <c r="B293" s="223"/>
      <c r="C293" s="33" t="s">
        <v>361</v>
      </c>
      <c r="D293" s="149" t="s">
        <v>302</v>
      </c>
      <c r="E293" s="27" t="s">
        <v>303</v>
      </c>
      <c r="F293" s="68">
        <v>3040.7</v>
      </c>
      <c r="G293" s="68">
        <v>3255.3</v>
      </c>
      <c r="H293" s="68">
        <v>3515.7</v>
      </c>
      <c r="I293" s="68">
        <v>3731</v>
      </c>
      <c r="J293" s="68">
        <v>3935.4</v>
      </c>
      <c r="K293" s="10"/>
    </row>
    <row r="294" spans="1:11" ht="15.75" x14ac:dyDescent="0.2">
      <c r="A294" s="220" t="s">
        <v>1368</v>
      </c>
      <c r="B294" s="222" t="s">
        <v>418</v>
      </c>
      <c r="C294" s="33" t="s">
        <v>419</v>
      </c>
      <c r="D294" s="40" t="s">
        <v>420</v>
      </c>
      <c r="E294" s="33" t="s">
        <v>367</v>
      </c>
      <c r="F294" s="68">
        <v>52</v>
      </c>
      <c r="G294" s="68">
        <v>45</v>
      </c>
      <c r="H294" s="68">
        <v>42</v>
      </c>
      <c r="I294" s="68">
        <v>42</v>
      </c>
      <c r="J294" s="68">
        <v>39</v>
      </c>
      <c r="K294" s="10"/>
    </row>
    <row r="295" spans="1:11" ht="84" customHeight="1" x14ac:dyDescent="0.2">
      <c r="A295" s="221"/>
      <c r="B295" s="223"/>
      <c r="C295" s="33" t="s">
        <v>364</v>
      </c>
      <c r="D295" s="149" t="s">
        <v>302</v>
      </c>
      <c r="E295" s="27" t="s">
        <v>303</v>
      </c>
      <c r="F295" s="68">
        <v>7006.8</v>
      </c>
      <c r="G295" s="68">
        <v>6745</v>
      </c>
      <c r="H295" s="68">
        <v>5506.2</v>
      </c>
      <c r="I295" s="68">
        <v>5577.5</v>
      </c>
      <c r="J295" s="68">
        <v>5366.4</v>
      </c>
      <c r="K295" s="10"/>
    </row>
    <row r="296" spans="1:11" ht="15.75" x14ac:dyDescent="0.2">
      <c r="A296" s="220" t="s">
        <v>1369</v>
      </c>
      <c r="B296" s="222" t="s">
        <v>418</v>
      </c>
      <c r="C296" s="33" t="s">
        <v>421</v>
      </c>
      <c r="D296" s="40" t="s">
        <v>420</v>
      </c>
      <c r="E296" s="33" t="s">
        <v>367</v>
      </c>
      <c r="F296" s="68">
        <v>1</v>
      </c>
      <c r="G296" s="68">
        <v>2</v>
      </c>
      <c r="H296" s="68">
        <v>1</v>
      </c>
      <c r="I296" s="68">
        <v>1</v>
      </c>
      <c r="J296" s="68">
        <v>1</v>
      </c>
      <c r="K296" s="10"/>
    </row>
    <row r="297" spans="1:11" ht="76.5" customHeight="1" x14ac:dyDescent="0.2">
      <c r="A297" s="221"/>
      <c r="B297" s="223"/>
      <c r="C297" s="33" t="s">
        <v>364</v>
      </c>
      <c r="D297" s="149" t="s">
        <v>302</v>
      </c>
      <c r="E297" s="27" t="s">
        <v>303</v>
      </c>
      <c r="F297" s="68">
        <v>122.9</v>
      </c>
      <c r="G297" s="68">
        <v>269.8</v>
      </c>
      <c r="H297" s="68">
        <v>131.1</v>
      </c>
      <c r="I297" s="68">
        <v>132.80000000000001</v>
      </c>
      <c r="J297" s="68">
        <v>137.6</v>
      </c>
      <c r="K297" s="10"/>
    </row>
    <row r="298" spans="1:11" ht="15.75" x14ac:dyDescent="0.2">
      <c r="A298" s="220" t="s">
        <v>1363</v>
      </c>
      <c r="B298" s="222" t="s">
        <v>422</v>
      </c>
      <c r="C298" s="33" t="s">
        <v>423</v>
      </c>
      <c r="D298" s="40" t="s">
        <v>420</v>
      </c>
      <c r="E298" s="33" t="s">
        <v>367</v>
      </c>
      <c r="F298" s="68">
        <v>18</v>
      </c>
      <c r="G298" s="68">
        <v>17</v>
      </c>
      <c r="H298" s="68">
        <v>17</v>
      </c>
      <c r="I298" s="68">
        <v>22</v>
      </c>
      <c r="J298" s="68">
        <v>21</v>
      </c>
      <c r="K298" s="10"/>
    </row>
    <row r="299" spans="1:11" ht="78" customHeight="1" x14ac:dyDescent="0.2">
      <c r="A299" s="221"/>
      <c r="B299" s="223"/>
      <c r="C299" s="33" t="s">
        <v>364</v>
      </c>
      <c r="D299" s="149" t="s">
        <v>302</v>
      </c>
      <c r="E299" s="27" t="s">
        <v>303</v>
      </c>
      <c r="F299" s="68">
        <v>2335.6</v>
      </c>
      <c r="G299" s="68">
        <v>2293.3000000000002</v>
      </c>
      <c r="H299" s="68">
        <v>2228.6999999999998</v>
      </c>
      <c r="I299" s="68">
        <v>2921.6</v>
      </c>
      <c r="J299" s="68">
        <v>2889.6</v>
      </c>
      <c r="K299" s="10"/>
    </row>
    <row r="300" spans="1:11" ht="15.75" x14ac:dyDescent="0.2">
      <c r="A300" s="220" t="s">
        <v>1370</v>
      </c>
      <c r="B300" s="222" t="s">
        <v>422</v>
      </c>
      <c r="C300" s="33" t="s">
        <v>424</v>
      </c>
      <c r="D300" s="40" t="s">
        <v>420</v>
      </c>
      <c r="E300" s="33" t="s">
        <v>367</v>
      </c>
      <c r="F300" s="68">
        <v>33</v>
      </c>
      <c r="G300" s="68">
        <v>34</v>
      </c>
      <c r="H300" s="68">
        <v>33</v>
      </c>
      <c r="I300" s="68">
        <v>30</v>
      </c>
      <c r="J300" s="68">
        <v>29</v>
      </c>
      <c r="K300" s="10"/>
    </row>
    <row r="301" spans="1:11" ht="51" x14ac:dyDescent="0.2">
      <c r="A301" s="221"/>
      <c r="B301" s="223"/>
      <c r="C301" s="33" t="s">
        <v>364</v>
      </c>
      <c r="D301" s="149" t="s">
        <v>302</v>
      </c>
      <c r="E301" s="27" t="s">
        <v>303</v>
      </c>
      <c r="F301" s="68">
        <v>4056.6</v>
      </c>
      <c r="G301" s="68">
        <v>4451.7</v>
      </c>
      <c r="H301" s="68">
        <v>4326.3</v>
      </c>
      <c r="I301" s="68">
        <v>3984</v>
      </c>
      <c r="J301" s="68">
        <v>3990.4</v>
      </c>
      <c r="K301" s="10"/>
    </row>
    <row r="302" spans="1:11" ht="15.75" x14ac:dyDescent="0.2">
      <c r="A302" s="220" t="s">
        <v>1375</v>
      </c>
      <c r="B302" s="222" t="s">
        <v>422</v>
      </c>
      <c r="C302" s="33" t="s">
        <v>425</v>
      </c>
      <c r="D302" s="40" t="s">
        <v>420</v>
      </c>
      <c r="E302" s="33" t="s">
        <v>367</v>
      </c>
      <c r="F302" s="68">
        <v>44</v>
      </c>
      <c r="G302" s="68">
        <v>37</v>
      </c>
      <c r="H302" s="68">
        <v>38</v>
      </c>
      <c r="I302" s="68">
        <v>34</v>
      </c>
      <c r="J302" s="68">
        <v>31</v>
      </c>
      <c r="K302" s="10"/>
    </row>
    <row r="303" spans="1:11" ht="76.5" customHeight="1" x14ac:dyDescent="0.2">
      <c r="A303" s="221"/>
      <c r="B303" s="223"/>
      <c r="C303" s="33" t="s">
        <v>364</v>
      </c>
      <c r="D303" s="149" t="s">
        <v>302</v>
      </c>
      <c r="E303" s="27" t="s">
        <v>303</v>
      </c>
      <c r="F303" s="68">
        <v>5777.5</v>
      </c>
      <c r="G303" s="68">
        <v>5396</v>
      </c>
      <c r="H303" s="68">
        <v>4981.8</v>
      </c>
      <c r="I303" s="68">
        <v>4515.2</v>
      </c>
      <c r="J303" s="68">
        <v>4265.6000000000004</v>
      </c>
      <c r="K303" s="10"/>
    </row>
    <row r="304" spans="1:11" ht="15.75" x14ac:dyDescent="0.2">
      <c r="A304" s="220" t="s">
        <v>1376</v>
      </c>
      <c r="B304" s="222" t="s">
        <v>426</v>
      </c>
      <c r="C304" s="33" t="s">
        <v>427</v>
      </c>
      <c r="D304" s="40" t="s">
        <v>420</v>
      </c>
      <c r="E304" s="33" t="s">
        <v>367</v>
      </c>
      <c r="F304" s="68">
        <v>62</v>
      </c>
      <c r="G304" s="68">
        <v>66</v>
      </c>
      <c r="H304" s="68">
        <v>62</v>
      </c>
      <c r="I304" s="68">
        <v>61</v>
      </c>
      <c r="J304" s="68">
        <v>58</v>
      </c>
      <c r="K304" s="10"/>
    </row>
    <row r="305" spans="1:11" ht="80.25" customHeight="1" x14ac:dyDescent="0.2">
      <c r="A305" s="221"/>
      <c r="B305" s="223"/>
      <c r="C305" s="33" t="s">
        <v>364</v>
      </c>
      <c r="D305" s="149" t="s">
        <v>302</v>
      </c>
      <c r="E305" s="27" t="s">
        <v>303</v>
      </c>
      <c r="F305" s="68">
        <v>7498.5</v>
      </c>
      <c r="G305" s="68">
        <v>8493.7000000000007</v>
      </c>
      <c r="H305" s="68">
        <v>8128.2</v>
      </c>
      <c r="I305" s="68">
        <v>8100.8</v>
      </c>
      <c r="J305" s="68">
        <v>7980.8</v>
      </c>
      <c r="K305" s="10"/>
    </row>
    <row r="306" spans="1:11" ht="15.75" x14ac:dyDescent="0.2">
      <c r="A306" s="220" t="s">
        <v>1371</v>
      </c>
      <c r="B306" s="222" t="s">
        <v>428</v>
      </c>
      <c r="C306" s="33" t="s">
        <v>429</v>
      </c>
      <c r="D306" s="40" t="s">
        <v>420</v>
      </c>
      <c r="E306" s="33" t="s">
        <v>367</v>
      </c>
      <c r="F306" s="68">
        <v>24</v>
      </c>
      <c r="G306" s="68">
        <v>23</v>
      </c>
      <c r="H306" s="68">
        <v>22</v>
      </c>
      <c r="I306" s="68">
        <v>23</v>
      </c>
      <c r="J306" s="68">
        <v>25</v>
      </c>
      <c r="K306" s="10"/>
    </row>
    <row r="307" spans="1:11" ht="66" customHeight="1" x14ac:dyDescent="0.2">
      <c r="A307" s="221"/>
      <c r="B307" s="223"/>
      <c r="C307" s="33" t="s">
        <v>364</v>
      </c>
      <c r="D307" s="149" t="s">
        <v>302</v>
      </c>
      <c r="E307" s="27" t="s">
        <v>303</v>
      </c>
      <c r="F307" s="68">
        <v>3196.1</v>
      </c>
      <c r="G307" s="68">
        <v>3237.6</v>
      </c>
      <c r="H307" s="68">
        <v>2884.2</v>
      </c>
      <c r="I307" s="68">
        <v>3054.4</v>
      </c>
      <c r="J307" s="68">
        <v>3440</v>
      </c>
      <c r="K307" s="10"/>
    </row>
    <row r="308" spans="1:11" ht="15.75" x14ac:dyDescent="0.2">
      <c r="A308" s="220" t="s">
        <v>1372</v>
      </c>
      <c r="B308" s="222" t="s">
        <v>430</v>
      </c>
      <c r="C308" s="33" t="s">
        <v>431</v>
      </c>
      <c r="D308" s="40" t="s">
        <v>420</v>
      </c>
      <c r="E308" s="33" t="s">
        <v>367</v>
      </c>
      <c r="F308" s="68">
        <v>26</v>
      </c>
      <c r="G308" s="68">
        <v>27</v>
      </c>
      <c r="H308" s="68">
        <v>31</v>
      </c>
      <c r="I308" s="68">
        <v>29</v>
      </c>
      <c r="J308" s="68">
        <v>30</v>
      </c>
      <c r="K308" s="10"/>
    </row>
    <row r="309" spans="1:11" ht="83.25" customHeight="1" x14ac:dyDescent="0.2">
      <c r="A309" s="221"/>
      <c r="B309" s="223"/>
      <c r="C309" s="33" t="s">
        <v>364</v>
      </c>
      <c r="D309" s="149" t="s">
        <v>302</v>
      </c>
      <c r="E309" s="27" t="s">
        <v>303</v>
      </c>
      <c r="F309" s="68">
        <v>2950.2</v>
      </c>
      <c r="G309" s="68">
        <v>3642.3</v>
      </c>
      <c r="H309" s="68">
        <v>4064.1</v>
      </c>
      <c r="I309" s="68">
        <v>3851.2</v>
      </c>
      <c r="J309" s="68">
        <v>4128</v>
      </c>
      <c r="K309" s="10"/>
    </row>
    <row r="310" spans="1:11" ht="15.75" x14ac:dyDescent="0.2">
      <c r="A310" s="220" t="s">
        <v>1373</v>
      </c>
      <c r="B310" s="222" t="s">
        <v>432</v>
      </c>
      <c r="C310" s="33" t="s">
        <v>433</v>
      </c>
      <c r="D310" s="40" t="s">
        <v>420</v>
      </c>
      <c r="E310" s="33" t="s">
        <v>367</v>
      </c>
      <c r="F310" s="68">
        <v>12</v>
      </c>
      <c r="G310" s="68">
        <v>11</v>
      </c>
      <c r="H310" s="68">
        <v>11</v>
      </c>
      <c r="I310" s="68">
        <v>13</v>
      </c>
      <c r="J310" s="68">
        <v>15</v>
      </c>
      <c r="K310" s="10"/>
    </row>
    <row r="311" spans="1:11" ht="78" customHeight="1" x14ac:dyDescent="0.2">
      <c r="A311" s="221"/>
      <c r="B311" s="223"/>
      <c r="C311" s="33" t="s">
        <v>364</v>
      </c>
      <c r="D311" s="149" t="s">
        <v>302</v>
      </c>
      <c r="E311" s="27" t="s">
        <v>303</v>
      </c>
      <c r="F311" s="68">
        <v>1598</v>
      </c>
      <c r="G311" s="68">
        <v>1618.8</v>
      </c>
      <c r="H311" s="68">
        <v>1442.1</v>
      </c>
      <c r="I311" s="68">
        <v>1726.4</v>
      </c>
      <c r="J311" s="68">
        <v>2064</v>
      </c>
      <c r="K311" s="10"/>
    </row>
    <row r="312" spans="1:11" ht="15.75" x14ac:dyDescent="0.2">
      <c r="A312" s="220" t="s">
        <v>1404</v>
      </c>
      <c r="B312" s="222" t="s">
        <v>432</v>
      </c>
      <c r="C312" s="33" t="s">
        <v>434</v>
      </c>
      <c r="D312" s="40" t="s">
        <v>420</v>
      </c>
      <c r="E312" s="33" t="s">
        <v>367</v>
      </c>
      <c r="F312" s="68">
        <v>15</v>
      </c>
      <c r="G312" s="68">
        <v>15</v>
      </c>
      <c r="H312" s="68">
        <v>15</v>
      </c>
      <c r="I312" s="68">
        <v>15</v>
      </c>
      <c r="J312" s="68">
        <v>15</v>
      </c>
      <c r="K312" s="10"/>
    </row>
    <row r="313" spans="1:11" ht="82.5" customHeight="1" x14ac:dyDescent="0.2">
      <c r="A313" s="221"/>
      <c r="B313" s="223"/>
      <c r="C313" s="33" t="s">
        <v>364</v>
      </c>
      <c r="D313" s="149" t="s">
        <v>302</v>
      </c>
      <c r="E313" s="27" t="s">
        <v>303</v>
      </c>
      <c r="F313" s="68">
        <v>1843.9</v>
      </c>
      <c r="G313" s="68">
        <v>2023.5</v>
      </c>
      <c r="H313" s="68">
        <v>1966.5</v>
      </c>
      <c r="I313" s="68">
        <v>1992</v>
      </c>
      <c r="J313" s="68">
        <v>2064</v>
      </c>
      <c r="K313" s="10"/>
    </row>
    <row r="314" spans="1:11" ht="15.75" x14ac:dyDescent="0.2">
      <c r="A314" s="220" t="s">
        <v>1403</v>
      </c>
      <c r="B314" s="222" t="s">
        <v>422</v>
      </c>
      <c r="C314" s="33" t="s">
        <v>435</v>
      </c>
      <c r="D314" s="40" t="s">
        <v>420</v>
      </c>
      <c r="E314" s="33" t="s">
        <v>367</v>
      </c>
      <c r="F314" s="68">
        <v>23</v>
      </c>
      <c r="G314" s="68">
        <v>20</v>
      </c>
      <c r="H314" s="68">
        <v>15</v>
      </c>
      <c r="I314" s="68">
        <v>15</v>
      </c>
      <c r="J314" s="68">
        <v>15</v>
      </c>
      <c r="K314" s="10"/>
    </row>
    <row r="315" spans="1:11" ht="81" customHeight="1" x14ac:dyDescent="0.2">
      <c r="A315" s="221"/>
      <c r="B315" s="223"/>
      <c r="C315" s="33" t="s">
        <v>364</v>
      </c>
      <c r="D315" s="149" t="s">
        <v>302</v>
      </c>
      <c r="E315" s="27" t="s">
        <v>303</v>
      </c>
      <c r="F315" s="68">
        <v>3073.2</v>
      </c>
      <c r="G315" s="68">
        <v>2967.8</v>
      </c>
      <c r="H315" s="68">
        <v>1966.5</v>
      </c>
      <c r="I315" s="68">
        <v>1992</v>
      </c>
      <c r="J315" s="68">
        <v>2064</v>
      </c>
      <c r="K315" s="10"/>
    </row>
    <row r="316" spans="1:11" ht="15.75" x14ac:dyDescent="0.2">
      <c r="A316" s="220" t="s">
        <v>1405</v>
      </c>
      <c r="B316" s="222" t="s">
        <v>436</v>
      </c>
      <c r="C316" s="33" t="s">
        <v>437</v>
      </c>
      <c r="D316" s="40" t="s">
        <v>420</v>
      </c>
      <c r="E316" s="33" t="s">
        <v>367</v>
      </c>
      <c r="F316" s="68">
        <v>32</v>
      </c>
      <c r="G316" s="68">
        <v>25</v>
      </c>
      <c r="H316" s="68">
        <v>23</v>
      </c>
      <c r="I316" s="68">
        <v>24</v>
      </c>
      <c r="J316" s="68">
        <v>24</v>
      </c>
      <c r="K316" s="10"/>
    </row>
    <row r="317" spans="1:11" ht="76.5" customHeight="1" x14ac:dyDescent="0.2">
      <c r="A317" s="221"/>
      <c r="B317" s="223"/>
      <c r="C317" s="33" t="s">
        <v>364</v>
      </c>
      <c r="D317" s="149" t="s">
        <v>302</v>
      </c>
      <c r="E317" s="27" t="s">
        <v>303</v>
      </c>
      <c r="F317" s="68">
        <v>4302.3999999999996</v>
      </c>
      <c r="G317" s="68">
        <v>3642.3</v>
      </c>
      <c r="H317" s="68">
        <v>3015.3</v>
      </c>
      <c r="I317" s="68">
        <v>3187.2</v>
      </c>
      <c r="J317" s="68">
        <v>3302.4</v>
      </c>
      <c r="K317" s="10"/>
    </row>
    <row r="318" spans="1:11" ht="15.75" x14ac:dyDescent="0.2">
      <c r="A318" s="220" t="s">
        <v>1406</v>
      </c>
      <c r="B318" s="222" t="s">
        <v>438</v>
      </c>
      <c r="C318" s="33" t="s">
        <v>439</v>
      </c>
      <c r="D318" s="40" t="s">
        <v>420</v>
      </c>
      <c r="E318" s="33" t="s">
        <v>367</v>
      </c>
      <c r="F318" s="68">
        <v>12</v>
      </c>
      <c r="G318" s="68">
        <v>12</v>
      </c>
      <c r="H318" s="68">
        <v>12</v>
      </c>
      <c r="I318" s="68">
        <v>12</v>
      </c>
      <c r="J318" s="68">
        <v>12</v>
      </c>
      <c r="K318" s="10"/>
    </row>
    <row r="319" spans="1:11" ht="65.25" customHeight="1" x14ac:dyDescent="0.2">
      <c r="A319" s="221"/>
      <c r="B319" s="223"/>
      <c r="C319" s="33" t="s">
        <v>364</v>
      </c>
      <c r="D319" s="149" t="s">
        <v>302</v>
      </c>
      <c r="E319" s="27" t="s">
        <v>303</v>
      </c>
      <c r="F319" s="68">
        <v>1598</v>
      </c>
      <c r="G319" s="68">
        <v>1618.8</v>
      </c>
      <c r="H319" s="68">
        <v>1573.2</v>
      </c>
      <c r="I319" s="68">
        <v>1593.6</v>
      </c>
      <c r="J319" s="68">
        <v>1651.2</v>
      </c>
      <c r="K319" s="10"/>
    </row>
    <row r="320" spans="1:11" ht="15.75" x14ac:dyDescent="0.2">
      <c r="A320" s="220" t="s">
        <v>1407</v>
      </c>
      <c r="B320" s="222" t="s">
        <v>436</v>
      </c>
      <c r="C320" s="33" t="s">
        <v>440</v>
      </c>
      <c r="D320" s="40" t="s">
        <v>420</v>
      </c>
      <c r="E320" s="33" t="s">
        <v>367</v>
      </c>
      <c r="F320" s="68">
        <v>6</v>
      </c>
      <c r="G320" s="68">
        <v>7</v>
      </c>
      <c r="H320" s="68">
        <v>7</v>
      </c>
      <c r="I320" s="68">
        <v>8</v>
      </c>
      <c r="J320" s="68">
        <v>9</v>
      </c>
      <c r="K320" s="10"/>
    </row>
    <row r="321" spans="1:11" ht="79.5" customHeight="1" x14ac:dyDescent="0.2">
      <c r="A321" s="221"/>
      <c r="B321" s="223"/>
      <c r="C321" s="33" t="s">
        <v>364</v>
      </c>
      <c r="D321" s="149" t="s">
        <v>302</v>
      </c>
      <c r="E321" s="27" t="s">
        <v>303</v>
      </c>
      <c r="F321" s="68">
        <v>737.6</v>
      </c>
      <c r="G321" s="68">
        <v>944.3</v>
      </c>
      <c r="H321" s="68">
        <v>917.7</v>
      </c>
      <c r="I321" s="68">
        <v>1062.4000000000001</v>
      </c>
      <c r="J321" s="68">
        <v>1238.4000000000001</v>
      </c>
      <c r="K321" s="10"/>
    </row>
    <row r="322" spans="1:11" ht="15.75" x14ac:dyDescent="0.2">
      <c r="A322" s="220" t="s">
        <v>1408</v>
      </c>
      <c r="B322" s="222" t="s">
        <v>441</v>
      </c>
      <c r="C322" s="33" t="s">
        <v>442</v>
      </c>
      <c r="D322" s="40" t="s">
        <v>420</v>
      </c>
      <c r="E322" s="33" t="s">
        <v>367</v>
      </c>
      <c r="F322" s="68">
        <v>9</v>
      </c>
      <c r="G322" s="68">
        <v>9</v>
      </c>
      <c r="H322" s="68">
        <v>11</v>
      </c>
      <c r="I322" s="68">
        <v>11</v>
      </c>
      <c r="J322" s="68">
        <v>12</v>
      </c>
      <c r="K322" s="10"/>
    </row>
    <row r="323" spans="1:11" ht="65.25" customHeight="1" x14ac:dyDescent="0.2">
      <c r="A323" s="221"/>
      <c r="B323" s="223"/>
      <c r="C323" s="33" t="s">
        <v>364</v>
      </c>
      <c r="D323" s="149" t="s">
        <v>302</v>
      </c>
      <c r="E323" s="27" t="s">
        <v>303</v>
      </c>
      <c r="F323" s="68">
        <v>1106.3</v>
      </c>
      <c r="G323" s="68">
        <v>1214.0999999999999</v>
      </c>
      <c r="H323" s="68">
        <v>1442.1</v>
      </c>
      <c r="I323" s="68">
        <v>1460.8</v>
      </c>
      <c r="J323" s="68">
        <v>1651.2</v>
      </c>
      <c r="K323" s="10"/>
    </row>
    <row r="324" spans="1:11" ht="15.75" x14ac:dyDescent="0.2">
      <c r="A324" s="220" t="s">
        <v>1409</v>
      </c>
      <c r="B324" s="222" t="s">
        <v>441</v>
      </c>
      <c r="C324" s="33" t="s">
        <v>443</v>
      </c>
      <c r="D324" s="40" t="s">
        <v>420</v>
      </c>
      <c r="E324" s="33" t="s">
        <v>367</v>
      </c>
      <c r="F324" s="68">
        <v>9</v>
      </c>
      <c r="G324" s="68">
        <v>7</v>
      </c>
      <c r="H324" s="68">
        <v>11</v>
      </c>
      <c r="I324" s="68">
        <v>12</v>
      </c>
      <c r="J324" s="68">
        <v>12</v>
      </c>
      <c r="K324" s="10"/>
    </row>
    <row r="325" spans="1:11" ht="69.75" customHeight="1" x14ac:dyDescent="0.2">
      <c r="A325" s="221"/>
      <c r="B325" s="223"/>
      <c r="C325" s="33" t="s">
        <v>364</v>
      </c>
      <c r="D325" s="149" t="s">
        <v>302</v>
      </c>
      <c r="E325" s="27" t="s">
        <v>303</v>
      </c>
      <c r="F325" s="68">
        <v>1106.3</v>
      </c>
      <c r="G325" s="68">
        <v>944.3</v>
      </c>
      <c r="H325" s="68">
        <v>1442.1</v>
      </c>
      <c r="I325" s="68">
        <v>1593.6</v>
      </c>
      <c r="J325" s="68">
        <v>1651.2</v>
      </c>
      <c r="K325" s="10"/>
    </row>
    <row r="326" spans="1:11" ht="15.75" x14ac:dyDescent="0.2">
      <c r="A326" s="220" t="s">
        <v>1410</v>
      </c>
      <c r="B326" s="222" t="s">
        <v>418</v>
      </c>
      <c r="C326" s="33" t="s">
        <v>444</v>
      </c>
      <c r="D326" s="40" t="s">
        <v>420</v>
      </c>
      <c r="E326" s="33" t="s">
        <v>367</v>
      </c>
      <c r="F326" s="68">
        <v>59</v>
      </c>
      <c r="G326" s="68">
        <v>47</v>
      </c>
      <c r="H326" s="68">
        <v>43</v>
      </c>
      <c r="I326" s="68">
        <v>42</v>
      </c>
      <c r="J326" s="68">
        <v>42</v>
      </c>
      <c r="K326" s="10"/>
    </row>
    <row r="327" spans="1:11" ht="68.25" customHeight="1" x14ac:dyDescent="0.2">
      <c r="A327" s="221"/>
      <c r="B327" s="223"/>
      <c r="C327" s="33" t="s">
        <v>364</v>
      </c>
      <c r="D327" s="149" t="s">
        <v>302</v>
      </c>
      <c r="E327" s="27" t="s">
        <v>303</v>
      </c>
      <c r="F327" s="68">
        <v>7990.2</v>
      </c>
      <c r="G327" s="68">
        <v>7014.8</v>
      </c>
      <c r="H327" s="68">
        <v>5637.3</v>
      </c>
      <c r="I327" s="68">
        <v>5577.6</v>
      </c>
      <c r="J327" s="68">
        <v>5779.2</v>
      </c>
      <c r="K327" s="10"/>
    </row>
    <row r="328" spans="1:11" ht="15.75" x14ac:dyDescent="0.2">
      <c r="A328" s="220" t="s">
        <v>1411</v>
      </c>
      <c r="B328" s="222" t="s">
        <v>445</v>
      </c>
      <c r="C328" s="33" t="s">
        <v>446</v>
      </c>
      <c r="D328" s="40" t="s">
        <v>420</v>
      </c>
      <c r="E328" s="33" t="s">
        <v>367</v>
      </c>
      <c r="F328" s="68">
        <v>1</v>
      </c>
      <c r="G328" s="68">
        <v>1</v>
      </c>
      <c r="H328" s="68">
        <v>0</v>
      </c>
      <c r="I328" s="68">
        <v>0</v>
      </c>
      <c r="J328" s="68">
        <v>0</v>
      </c>
      <c r="K328" s="10"/>
    </row>
    <row r="329" spans="1:11" ht="72" customHeight="1" x14ac:dyDescent="0.2">
      <c r="A329" s="221"/>
      <c r="B329" s="223"/>
      <c r="C329" s="33" t="s">
        <v>364</v>
      </c>
      <c r="D329" s="149" t="s">
        <v>302</v>
      </c>
      <c r="E329" s="27" t="s">
        <v>303</v>
      </c>
      <c r="F329" s="68">
        <v>122.9</v>
      </c>
      <c r="G329" s="68">
        <v>134.9</v>
      </c>
      <c r="H329" s="68">
        <v>0</v>
      </c>
      <c r="I329" s="68">
        <v>0</v>
      </c>
      <c r="J329" s="68">
        <v>0</v>
      </c>
      <c r="K329" s="10"/>
    </row>
    <row r="330" spans="1:11" ht="15.75" x14ac:dyDescent="0.2">
      <c r="A330" s="220" t="s">
        <v>1412</v>
      </c>
      <c r="B330" s="222" t="s">
        <v>422</v>
      </c>
      <c r="C330" s="33" t="s">
        <v>447</v>
      </c>
      <c r="D330" s="40" t="s">
        <v>420</v>
      </c>
      <c r="E330" s="33" t="s">
        <v>367</v>
      </c>
      <c r="F330" s="68">
        <v>6</v>
      </c>
      <c r="G330" s="68">
        <v>6</v>
      </c>
      <c r="H330" s="68">
        <v>6</v>
      </c>
      <c r="I330" s="68">
        <v>3</v>
      </c>
      <c r="J330" s="68">
        <v>3</v>
      </c>
      <c r="K330" s="10"/>
    </row>
    <row r="331" spans="1:11" ht="76.5" customHeight="1" x14ac:dyDescent="0.2">
      <c r="A331" s="221"/>
      <c r="B331" s="223"/>
      <c r="C331" s="33" t="s">
        <v>364</v>
      </c>
      <c r="D331" s="149" t="s">
        <v>302</v>
      </c>
      <c r="E331" s="27" t="s">
        <v>303</v>
      </c>
      <c r="F331" s="68">
        <v>737.6</v>
      </c>
      <c r="G331" s="68">
        <v>809.4</v>
      </c>
      <c r="H331" s="68">
        <v>786.6</v>
      </c>
      <c r="I331" s="68">
        <v>398.4</v>
      </c>
      <c r="J331" s="68">
        <v>412.8</v>
      </c>
      <c r="K331" s="10"/>
    </row>
    <row r="332" spans="1:11" ht="15.75" x14ac:dyDescent="0.2">
      <c r="A332" s="220" t="s">
        <v>1413</v>
      </c>
      <c r="B332" s="222" t="s">
        <v>422</v>
      </c>
      <c r="C332" s="33" t="s">
        <v>448</v>
      </c>
      <c r="D332" s="40" t="s">
        <v>420</v>
      </c>
      <c r="E332" s="33" t="s">
        <v>367</v>
      </c>
      <c r="F332" s="68">
        <v>64</v>
      </c>
      <c r="G332" s="68">
        <v>63</v>
      </c>
      <c r="H332" s="68">
        <v>72</v>
      </c>
      <c r="I332" s="68">
        <v>78</v>
      </c>
      <c r="J332" s="68">
        <v>79</v>
      </c>
      <c r="K332" s="10"/>
    </row>
    <row r="333" spans="1:11" ht="80.25" customHeight="1" x14ac:dyDescent="0.2">
      <c r="A333" s="221"/>
      <c r="B333" s="223"/>
      <c r="C333" s="33" t="s">
        <v>364</v>
      </c>
      <c r="D333" s="149" t="s">
        <v>302</v>
      </c>
      <c r="E333" s="27" t="s">
        <v>303</v>
      </c>
      <c r="F333" s="68">
        <v>8481.9</v>
      </c>
      <c r="G333" s="68">
        <v>8763.5</v>
      </c>
      <c r="H333" s="68">
        <v>9439.2000000000007</v>
      </c>
      <c r="I333" s="68">
        <v>10358.4</v>
      </c>
      <c r="J333" s="68">
        <v>10870.4</v>
      </c>
      <c r="K333" s="10"/>
    </row>
    <row r="334" spans="1:11" ht="15.75" x14ac:dyDescent="0.2">
      <c r="A334" s="220" t="s">
        <v>1414</v>
      </c>
      <c r="B334" s="222" t="s">
        <v>422</v>
      </c>
      <c r="C334" s="33" t="s">
        <v>449</v>
      </c>
      <c r="D334" s="40" t="s">
        <v>420</v>
      </c>
      <c r="E334" s="33" t="s">
        <v>367</v>
      </c>
      <c r="F334" s="68">
        <v>4</v>
      </c>
      <c r="G334" s="68">
        <v>0</v>
      </c>
      <c r="H334" s="68">
        <v>0</v>
      </c>
      <c r="I334" s="68">
        <v>0</v>
      </c>
      <c r="J334" s="68">
        <v>0</v>
      </c>
      <c r="K334" s="10"/>
    </row>
    <row r="335" spans="1:11" ht="51" x14ac:dyDescent="0.2">
      <c r="A335" s="221"/>
      <c r="B335" s="223"/>
      <c r="C335" s="33" t="s">
        <v>364</v>
      </c>
      <c r="D335" s="149" t="s">
        <v>302</v>
      </c>
      <c r="E335" s="27" t="s">
        <v>303</v>
      </c>
      <c r="F335" s="68">
        <v>491.7</v>
      </c>
      <c r="G335" s="68">
        <v>0</v>
      </c>
      <c r="H335" s="68">
        <v>0</v>
      </c>
      <c r="I335" s="68">
        <v>0</v>
      </c>
      <c r="J335" s="68">
        <v>0</v>
      </c>
      <c r="K335" s="10"/>
    </row>
    <row r="336" spans="1:11" ht="15.75" x14ac:dyDescent="0.2">
      <c r="A336" s="220" t="s">
        <v>1415</v>
      </c>
      <c r="B336" s="222" t="s">
        <v>450</v>
      </c>
      <c r="C336" s="33" t="s">
        <v>451</v>
      </c>
      <c r="D336" s="40" t="s">
        <v>420</v>
      </c>
      <c r="E336" s="33" t="s">
        <v>367</v>
      </c>
      <c r="F336" s="68">
        <v>1</v>
      </c>
      <c r="G336" s="68">
        <v>2</v>
      </c>
      <c r="H336" s="68">
        <v>1</v>
      </c>
      <c r="I336" s="68">
        <v>0</v>
      </c>
      <c r="J336" s="68">
        <v>0</v>
      </c>
      <c r="K336" s="10"/>
    </row>
    <row r="337" spans="1:11" ht="69" customHeight="1" x14ac:dyDescent="0.2">
      <c r="A337" s="221"/>
      <c r="B337" s="223"/>
      <c r="C337" s="33" t="s">
        <v>364</v>
      </c>
      <c r="D337" s="149" t="s">
        <v>302</v>
      </c>
      <c r="E337" s="27" t="s">
        <v>303</v>
      </c>
      <c r="F337" s="68">
        <v>122.9</v>
      </c>
      <c r="G337" s="68">
        <v>269.8</v>
      </c>
      <c r="H337" s="68">
        <v>131.1</v>
      </c>
      <c r="I337" s="68">
        <v>0</v>
      </c>
      <c r="J337" s="68">
        <v>0</v>
      </c>
      <c r="K337" s="10"/>
    </row>
    <row r="338" spans="1:11" ht="15.75" x14ac:dyDescent="0.2">
      <c r="A338" s="220" t="s">
        <v>1416</v>
      </c>
      <c r="B338" s="222" t="s">
        <v>450</v>
      </c>
      <c r="C338" s="33" t="s">
        <v>452</v>
      </c>
      <c r="D338" s="40" t="s">
        <v>420</v>
      </c>
      <c r="E338" s="33" t="s">
        <v>367</v>
      </c>
      <c r="F338" s="68">
        <v>24</v>
      </c>
      <c r="G338" s="68">
        <v>24</v>
      </c>
      <c r="H338" s="68">
        <v>24</v>
      </c>
      <c r="I338" s="68">
        <v>24</v>
      </c>
      <c r="J338" s="68">
        <v>23</v>
      </c>
      <c r="K338" s="10"/>
    </row>
    <row r="339" spans="1:11" ht="73.5" customHeight="1" x14ac:dyDescent="0.2">
      <c r="A339" s="221"/>
      <c r="B339" s="223"/>
      <c r="C339" s="33" t="s">
        <v>364</v>
      </c>
      <c r="D339" s="149" t="s">
        <v>302</v>
      </c>
      <c r="E339" s="27" t="s">
        <v>303</v>
      </c>
      <c r="F339" s="68">
        <v>3073.2</v>
      </c>
      <c r="G339" s="68">
        <v>3507.4</v>
      </c>
      <c r="H339" s="68">
        <v>3146.4</v>
      </c>
      <c r="I339" s="68">
        <v>3187.2</v>
      </c>
      <c r="J339" s="68">
        <v>3164.8</v>
      </c>
      <c r="K339" s="10"/>
    </row>
    <row r="340" spans="1:11" ht="15.75" x14ac:dyDescent="0.2">
      <c r="A340" s="220" t="s">
        <v>1417</v>
      </c>
      <c r="B340" s="222" t="s">
        <v>453</v>
      </c>
      <c r="C340" s="33" t="s">
        <v>454</v>
      </c>
      <c r="D340" s="40" t="s">
        <v>420</v>
      </c>
      <c r="E340" s="33" t="s">
        <v>367</v>
      </c>
      <c r="F340" s="68">
        <v>83</v>
      </c>
      <c r="G340" s="68">
        <v>84</v>
      </c>
      <c r="H340" s="68">
        <v>93</v>
      </c>
      <c r="I340" s="68">
        <v>98</v>
      </c>
      <c r="J340" s="68">
        <v>98</v>
      </c>
      <c r="K340" s="10"/>
    </row>
    <row r="341" spans="1:11" ht="78" customHeight="1" x14ac:dyDescent="0.2">
      <c r="A341" s="221"/>
      <c r="B341" s="223"/>
      <c r="C341" s="33" t="s">
        <v>364</v>
      </c>
      <c r="D341" s="149" t="s">
        <v>302</v>
      </c>
      <c r="E341" s="27" t="s">
        <v>303</v>
      </c>
      <c r="F341" s="68">
        <v>11078</v>
      </c>
      <c r="G341" s="68">
        <v>11194.3</v>
      </c>
      <c r="H341" s="68">
        <v>12222.4</v>
      </c>
      <c r="I341" s="68">
        <v>13005.5</v>
      </c>
      <c r="J341" s="68">
        <v>13484.8</v>
      </c>
      <c r="K341" s="10"/>
    </row>
    <row r="342" spans="1:11" ht="15.75" x14ac:dyDescent="0.2">
      <c r="A342" s="220" t="s">
        <v>1418</v>
      </c>
      <c r="B342" s="222" t="s">
        <v>430</v>
      </c>
      <c r="C342" s="33" t="s">
        <v>455</v>
      </c>
      <c r="D342" s="40" t="s">
        <v>420</v>
      </c>
      <c r="E342" s="33" t="s">
        <v>367</v>
      </c>
      <c r="F342" s="68">
        <v>52</v>
      </c>
      <c r="G342" s="68">
        <v>53</v>
      </c>
      <c r="H342" s="68">
        <v>61</v>
      </c>
      <c r="I342" s="68">
        <v>69</v>
      </c>
      <c r="J342" s="68">
        <v>74</v>
      </c>
      <c r="K342" s="10"/>
    </row>
    <row r="343" spans="1:11" ht="86.25" customHeight="1" x14ac:dyDescent="0.2">
      <c r="A343" s="221"/>
      <c r="B343" s="223"/>
      <c r="C343" s="33" t="s">
        <v>364</v>
      </c>
      <c r="D343" s="149" t="s">
        <v>302</v>
      </c>
      <c r="E343" s="27" t="s">
        <v>303</v>
      </c>
      <c r="F343" s="68">
        <v>6883.9</v>
      </c>
      <c r="G343" s="68">
        <v>7149.7</v>
      </c>
      <c r="H343" s="68">
        <v>7997.1</v>
      </c>
      <c r="I343" s="68">
        <v>9163.2000000000007</v>
      </c>
      <c r="J343" s="68">
        <v>10182.4</v>
      </c>
      <c r="K343" s="10"/>
    </row>
    <row r="344" spans="1:11" ht="15.75" x14ac:dyDescent="0.2">
      <c r="A344" s="220" t="s">
        <v>1419</v>
      </c>
      <c r="B344" s="222" t="s">
        <v>432</v>
      </c>
      <c r="C344" s="33" t="s">
        <v>456</v>
      </c>
      <c r="D344" s="40" t="s">
        <v>420</v>
      </c>
      <c r="E344" s="33" t="s">
        <v>367</v>
      </c>
      <c r="F344" s="68">
        <v>6</v>
      </c>
      <c r="G344" s="68">
        <v>6</v>
      </c>
      <c r="H344" s="68">
        <v>3</v>
      </c>
      <c r="I344" s="68">
        <v>3</v>
      </c>
      <c r="J344" s="68">
        <v>0</v>
      </c>
      <c r="K344" s="10"/>
    </row>
    <row r="345" spans="1:11" ht="87.75" customHeight="1" x14ac:dyDescent="0.2">
      <c r="A345" s="221"/>
      <c r="B345" s="223"/>
      <c r="C345" s="33" t="s">
        <v>364</v>
      </c>
      <c r="D345" s="149" t="s">
        <v>302</v>
      </c>
      <c r="E345" s="27" t="s">
        <v>303</v>
      </c>
      <c r="F345" s="68">
        <v>737.6</v>
      </c>
      <c r="G345" s="68">
        <v>809.4</v>
      </c>
      <c r="H345" s="68">
        <v>393.3</v>
      </c>
      <c r="I345" s="68">
        <v>398.4</v>
      </c>
      <c r="J345" s="68">
        <v>0</v>
      </c>
      <c r="K345" s="10"/>
    </row>
    <row r="346" spans="1:11" ht="15.75" x14ac:dyDescent="0.2">
      <c r="A346" s="220" t="s">
        <v>1420</v>
      </c>
      <c r="B346" s="222" t="s">
        <v>432</v>
      </c>
      <c r="C346" s="33" t="s">
        <v>457</v>
      </c>
      <c r="D346" s="40" t="s">
        <v>420</v>
      </c>
      <c r="E346" s="33" t="s">
        <v>367</v>
      </c>
      <c r="F346" s="68">
        <v>10</v>
      </c>
      <c r="G346" s="68">
        <v>9</v>
      </c>
      <c r="H346" s="68">
        <v>10</v>
      </c>
      <c r="I346" s="68">
        <v>10</v>
      </c>
      <c r="J346" s="68">
        <v>10</v>
      </c>
      <c r="K346" s="10"/>
    </row>
    <row r="347" spans="1:11" ht="78" customHeight="1" x14ac:dyDescent="0.2">
      <c r="A347" s="221"/>
      <c r="B347" s="223"/>
      <c r="C347" s="33" t="s">
        <v>364</v>
      </c>
      <c r="D347" s="149" t="s">
        <v>302</v>
      </c>
      <c r="E347" s="27" t="s">
        <v>303</v>
      </c>
      <c r="F347" s="68">
        <v>1229.3</v>
      </c>
      <c r="G347" s="68">
        <v>1349</v>
      </c>
      <c r="H347" s="68">
        <v>1311</v>
      </c>
      <c r="I347" s="68">
        <v>1328</v>
      </c>
      <c r="J347" s="68">
        <v>1376</v>
      </c>
      <c r="K347" s="10"/>
    </row>
    <row r="348" spans="1:11" ht="15.75" x14ac:dyDescent="0.2">
      <c r="A348" s="220" t="s">
        <v>1421</v>
      </c>
      <c r="B348" s="222" t="s">
        <v>458</v>
      </c>
      <c r="C348" s="33" t="s">
        <v>459</v>
      </c>
      <c r="D348" s="40" t="s">
        <v>420</v>
      </c>
      <c r="E348" s="33" t="s">
        <v>367</v>
      </c>
      <c r="F348" s="68">
        <v>76</v>
      </c>
      <c r="G348" s="68">
        <v>74</v>
      </c>
      <c r="H348" s="68">
        <v>82</v>
      </c>
      <c r="I348" s="68">
        <v>91</v>
      </c>
      <c r="J348" s="68">
        <v>95</v>
      </c>
      <c r="K348" s="10"/>
    </row>
    <row r="349" spans="1:11" ht="69" customHeight="1" x14ac:dyDescent="0.2">
      <c r="A349" s="221"/>
      <c r="B349" s="223"/>
      <c r="C349" s="33" t="s">
        <v>364</v>
      </c>
      <c r="D349" s="149" t="s">
        <v>302</v>
      </c>
      <c r="E349" s="27" t="s">
        <v>303</v>
      </c>
      <c r="F349" s="68">
        <v>9834.1</v>
      </c>
      <c r="G349" s="68">
        <v>10107.5</v>
      </c>
      <c r="H349" s="68">
        <v>10750.2</v>
      </c>
      <c r="I349" s="68">
        <v>12076</v>
      </c>
      <c r="J349" s="68">
        <v>13095.5</v>
      </c>
      <c r="K349" s="10"/>
    </row>
    <row r="350" spans="1:11" ht="15.75" x14ac:dyDescent="0.2">
      <c r="A350" s="220" t="s">
        <v>1422</v>
      </c>
      <c r="B350" s="222" t="s">
        <v>436</v>
      </c>
      <c r="C350" s="33" t="s">
        <v>460</v>
      </c>
      <c r="D350" s="40" t="s">
        <v>420</v>
      </c>
      <c r="E350" s="33" t="s">
        <v>367</v>
      </c>
      <c r="F350" s="68">
        <v>7</v>
      </c>
      <c r="G350" s="68">
        <v>7</v>
      </c>
      <c r="H350" s="68">
        <v>10</v>
      </c>
      <c r="I350" s="68">
        <v>10</v>
      </c>
      <c r="J350" s="68">
        <v>10</v>
      </c>
      <c r="K350" s="10"/>
    </row>
    <row r="351" spans="1:11" ht="81.75" customHeight="1" x14ac:dyDescent="0.2">
      <c r="A351" s="221"/>
      <c r="B351" s="223"/>
      <c r="C351" s="33" t="s">
        <v>364</v>
      </c>
      <c r="D351" s="149" t="s">
        <v>302</v>
      </c>
      <c r="E351" s="27" t="s">
        <v>303</v>
      </c>
      <c r="F351" s="68">
        <v>860.5</v>
      </c>
      <c r="G351" s="68">
        <v>944.3</v>
      </c>
      <c r="H351" s="68">
        <v>1311</v>
      </c>
      <c r="I351" s="68">
        <v>1328</v>
      </c>
      <c r="J351" s="68">
        <v>1376</v>
      </c>
      <c r="K351" s="10"/>
    </row>
    <row r="352" spans="1:11" ht="15.75" x14ac:dyDescent="0.2">
      <c r="A352" s="220" t="s">
        <v>1423</v>
      </c>
      <c r="B352" s="222" t="s">
        <v>441</v>
      </c>
      <c r="C352" s="33" t="s">
        <v>461</v>
      </c>
      <c r="D352" s="40" t="s">
        <v>420</v>
      </c>
      <c r="E352" s="33" t="s">
        <v>367</v>
      </c>
      <c r="F352" s="68">
        <v>3</v>
      </c>
      <c r="G352" s="68">
        <v>3</v>
      </c>
      <c r="H352" s="68">
        <v>6</v>
      </c>
      <c r="I352" s="68">
        <v>6</v>
      </c>
      <c r="J352" s="68">
        <v>6</v>
      </c>
      <c r="K352" s="10"/>
    </row>
    <row r="353" spans="1:11" ht="74.25" customHeight="1" x14ac:dyDescent="0.2">
      <c r="A353" s="221"/>
      <c r="B353" s="223"/>
      <c r="C353" s="33" t="s">
        <v>364</v>
      </c>
      <c r="D353" s="149" t="s">
        <v>302</v>
      </c>
      <c r="E353" s="27" t="s">
        <v>303</v>
      </c>
      <c r="F353" s="68">
        <v>368.8</v>
      </c>
      <c r="G353" s="68">
        <v>404.7</v>
      </c>
      <c r="H353" s="68">
        <v>786.6</v>
      </c>
      <c r="I353" s="68">
        <v>796.8</v>
      </c>
      <c r="J353" s="68">
        <v>826.8</v>
      </c>
      <c r="K353" s="10"/>
    </row>
    <row r="354" spans="1:11" ht="15.75" x14ac:dyDescent="0.2">
      <c r="A354" s="220" t="s">
        <v>1424</v>
      </c>
      <c r="B354" s="222" t="s">
        <v>441</v>
      </c>
      <c r="C354" s="33" t="s">
        <v>462</v>
      </c>
      <c r="D354" s="40" t="s">
        <v>420</v>
      </c>
      <c r="E354" s="33" t="s">
        <v>367</v>
      </c>
      <c r="F354" s="68">
        <v>6</v>
      </c>
      <c r="G354" s="68">
        <v>7</v>
      </c>
      <c r="H354" s="68">
        <v>7</v>
      </c>
      <c r="I354" s="68">
        <v>6</v>
      </c>
      <c r="J354" s="68">
        <v>6</v>
      </c>
      <c r="K354" s="10"/>
    </row>
    <row r="355" spans="1:11" ht="66" customHeight="1" x14ac:dyDescent="0.2">
      <c r="A355" s="221"/>
      <c r="B355" s="223"/>
      <c r="C355" s="33" t="s">
        <v>364</v>
      </c>
      <c r="D355" s="149" t="s">
        <v>302</v>
      </c>
      <c r="E355" s="27" t="s">
        <v>303</v>
      </c>
      <c r="F355" s="68">
        <v>737.6</v>
      </c>
      <c r="G355" s="68">
        <v>944.3</v>
      </c>
      <c r="H355" s="68">
        <v>917.7</v>
      </c>
      <c r="I355" s="68">
        <v>796.8</v>
      </c>
      <c r="J355" s="68">
        <v>825.6</v>
      </c>
      <c r="K355" s="10"/>
    </row>
    <row r="356" spans="1:11" ht="15.75" x14ac:dyDescent="0.2">
      <c r="A356" s="220" t="s">
        <v>1425</v>
      </c>
      <c r="B356" s="222" t="s">
        <v>463</v>
      </c>
      <c r="C356" s="33" t="s">
        <v>464</v>
      </c>
      <c r="D356" s="40" t="s">
        <v>420</v>
      </c>
      <c r="E356" s="33" t="s">
        <v>367</v>
      </c>
      <c r="F356" s="68">
        <v>9</v>
      </c>
      <c r="G356" s="68">
        <v>9</v>
      </c>
      <c r="H356" s="68">
        <v>9</v>
      </c>
      <c r="I356" s="68">
        <v>9</v>
      </c>
      <c r="J356" s="68">
        <v>9</v>
      </c>
      <c r="K356" s="10"/>
    </row>
    <row r="357" spans="1:11" ht="84" customHeight="1" x14ac:dyDescent="0.2">
      <c r="A357" s="221"/>
      <c r="B357" s="223"/>
      <c r="C357" s="33" t="s">
        <v>364</v>
      </c>
      <c r="D357" s="149" t="s">
        <v>302</v>
      </c>
      <c r="E357" s="27" t="s">
        <v>303</v>
      </c>
      <c r="F357" s="68">
        <v>1106.3</v>
      </c>
      <c r="G357" s="68">
        <v>1349</v>
      </c>
      <c r="H357" s="68">
        <v>1179.9000000000001</v>
      </c>
      <c r="I357" s="68">
        <v>1195.2</v>
      </c>
      <c r="J357" s="68">
        <v>1238.4000000000001</v>
      </c>
      <c r="K357" s="10"/>
    </row>
    <row r="358" spans="1:11" ht="15.75" x14ac:dyDescent="0.2">
      <c r="A358" s="220" t="s">
        <v>1426</v>
      </c>
      <c r="B358" s="222" t="s">
        <v>465</v>
      </c>
      <c r="C358" s="33" t="s">
        <v>466</v>
      </c>
      <c r="D358" s="40" t="s">
        <v>420</v>
      </c>
      <c r="E358" s="33" t="s">
        <v>367</v>
      </c>
      <c r="F358" s="68">
        <v>0</v>
      </c>
      <c r="G358" s="68">
        <v>1</v>
      </c>
      <c r="H358" s="68">
        <v>0</v>
      </c>
      <c r="I358" s="68">
        <v>0</v>
      </c>
      <c r="J358" s="68">
        <v>0</v>
      </c>
      <c r="K358" s="10"/>
    </row>
    <row r="359" spans="1:11" ht="64.5" customHeight="1" x14ac:dyDescent="0.2">
      <c r="A359" s="221"/>
      <c r="B359" s="223"/>
      <c r="C359" s="69">
        <v>8.1007063210100507E+19</v>
      </c>
      <c r="D359" s="149" t="s">
        <v>302</v>
      </c>
      <c r="E359" s="27" t="s">
        <v>303</v>
      </c>
      <c r="F359" s="68">
        <v>0</v>
      </c>
      <c r="G359" s="68">
        <v>134.9</v>
      </c>
      <c r="H359" s="68">
        <v>0</v>
      </c>
      <c r="I359" s="68">
        <v>0</v>
      </c>
      <c r="J359" s="68">
        <v>0</v>
      </c>
      <c r="K359" s="10"/>
    </row>
    <row r="360" spans="1:11" ht="15.75" x14ac:dyDescent="0.2">
      <c r="A360" s="220" t="s">
        <v>1427</v>
      </c>
      <c r="B360" s="222" t="s">
        <v>428</v>
      </c>
      <c r="C360" s="33" t="s">
        <v>467</v>
      </c>
      <c r="D360" s="40" t="s">
        <v>420</v>
      </c>
      <c r="E360" s="33" t="s">
        <v>367</v>
      </c>
      <c r="F360" s="68">
        <v>28</v>
      </c>
      <c r="G360" s="68">
        <v>31</v>
      </c>
      <c r="H360" s="68">
        <v>31</v>
      </c>
      <c r="I360" s="68">
        <v>30</v>
      </c>
      <c r="J360" s="68">
        <v>28</v>
      </c>
      <c r="K360" s="10"/>
    </row>
    <row r="361" spans="1:11" ht="69.75" customHeight="1" x14ac:dyDescent="0.2">
      <c r="A361" s="221"/>
      <c r="B361" s="223"/>
      <c r="C361" s="33" t="s">
        <v>364</v>
      </c>
      <c r="D361" s="149" t="s">
        <v>302</v>
      </c>
      <c r="E361" s="27" t="s">
        <v>303</v>
      </c>
      <c r="F361" s="68">
        <v>3196.1</v>
      </c>
      <c r="G361" s="68">
        <v>4047</v>
      </c>
      <c r="H361" s="68">
        <v>4064.1</v>
      </c>
      <c r="I361" s="68">
        <v>3984</v>
      </c>
      <c r="J361" s="68">
        <v>3852.8</v>
      </c>
      <c r="K361" s="10"/>
    </row>
    <row r="362" spans="1:11" ht="15.75" x14ac:dyDescent="0.2">
      <c r="A362" s="220" t="s">
        <v>1428</v>
      </c>
      <c r="B362" s="222" t="s">
        <v>428</v>
      </c>
      <c r="C362" s="33" t="s">
        <v>468</v>
      </c>
      <c r="D362" s="40" t="s">
        <v>420</v>
      </c>
      <c r="E362" s="33" t="s">
        <v>367</v>
      </c>
      <c r="F362" s="68">
        <v>26</v>
      </c>
      <c r="G362" s="68">
        <v>23</v>
      </c>
      <c r="H362" s="68">
        <v>23</v>
      </c>
      <c r="I362" s="68">
        <v>24</v>
      </c>
      <c r="J362" s="68">
        <v>27</v>
      </c>
      <c r="K362" s="10"/>
    </row>
    <row r="363" spans="1:11" ht="73.5" customHeight="1" x14ac:dyDescent="0.2">
      <c r="A363" s="221"/>
      <c r="B363" s="223"/>
      <c r="C363" s="33" t="s">
        <v>364</v>
      </c>
      <c r="D363" s="149" t="s">
        <v>302</v>
      </c>
      <c r="E363" s="27" t="s">
        <v>303</v>
      </c>
      <c r="F363" s="68">
        <v>3196.1</v>
      </c>
      <c r="G363" s="68">
        <v>3372.5</v>
      </c>
      <c r="H363" s="68">
        <v>3015.3</v>
      </c>
      <c r="I363" s="68">
        <v>3187.2</v>
      </c>
      <c r="J363" s="68">
        <v>3715.2</v>
      </c>
      <c r="K363" s="10"/>
    </row>
    <row r="364" spans="1:11" ht="15.75" x14ac:dyDescent="0.2">
      <c r="A364" s="220" t="s">
        <v>1429</v>
      </c>
      <c r="B364" s="222" t="s">
        <v>453</v>
      </c>
      <c r="C364" s="33" t="s">
        <v>469</v>
      </c>
      <c r="D364" s="40" t="s">
        <v>420</v>
      </c>
      <c r="E364" s="33" t="s">
        <v>367</v>
      </c>
      <c r="F364" s="68">
        <v>47</v>
      </c>
      <c r="G364" s="68">
        <v>52</v>
      </c>
      <c r="H364" s="68">
        <v>52</v>
      </c>
      <c r="I364" s="68">
        <v>54</v>
      </c>
      <c r="J364" s="68">
        <v>56</v>
      </c>
      <c r="K364" s="10"/>
    </row>
    <row r="365" spans="1:11" ht="84.75" customHeight="1" x14ac:dyDescent="0.2">
      <c r="A365" s="221"/>
      <c r="B365" s="223"/>
      <c r="C365" s="33" t="s">
        <v>364</v>
      </c>
      <c r="D365" s="149" t="s">
        <v>302</v>
      </c>
      <c r="E365" s="27" t="s">
        <v>303</v>
      </c>
      <c r="F365" s="68">
        <v>6023.5</v>
      </c>
      <c r="G365" s="68">
        <v>6470.2</v>
      </c>
      <c r="H365" s="68">
        <v>6817.2</v>
      </c>
      <c r="I365" s="68">
        <v>7171.2</v>
      </c>
      <c r="J365" s="68">
        <v>7725.6</v>
      </c>
      <c r="K365" s="10"/>
    </row>
    <row r="366" spans="1:11" ht="15.75" x14ac:dyDescent="0.2">
      <c r="A366" s="220" t="s">
        <v>1430</v>
      </c>
      <c r="B366" s="222" t="s">
        <v>453</v>
      </c>
      <c r="C366" s="33" t="s">
        <v>470</v>
      </c>
      <c r="D366" s="40" t="s">
        <v>420</v>
      </c>
      <c r="E366" s="33" t="s">
        <v>367</v>
      </c>
      <c r="F366" s="68">
        <v>1</v>
      </c>
      <c r="G366" s="68">
        <v>0</v>
      </c>
      <c r="H366" s="68">
        <v>0</v>
      </c>
      <c r="I366" s="68">
        <v>0</v>
      </c>
      <c r="J366" s="68">
        <v>0</v>
      </c>
      <c r="K366" s="10"/>
    </row>
    <row r="367" spans="1:11" ht="78.75" customHeight="1" x14ac:dyDescent="0.2">
      <c r="A367" s="221"/>
      <c r="B367" s="223"/>
      <c r="C367" s="33" t="s">
        <v>364</v>
      </c>
      <c r="D367" s="149" t="s">
        <v>302</v>
      </c>
      <c r="E367" s="27" t="s">
        <v>303</v>
      </c>
      <c r="F367" s="68">
        <v>122.9</v>
      </c>
      <c r="G367" s="68">
        <v>0</v>
      </c>
      <c r="H367" s="68">
        <v>0</v>
      </c>
      <c r="I367" s="68">
        <v>0</v>
      </c>
      <c r="J367" s="68">
        <v>0</v>
      </c>
      <c r="K367" s="10"/>
    </row>
    <row r="368" spans="1:11" ht="15.75" x14ac:dyDescent="0.2">
      <c r="A368" s="220" t="s">
        <v>1431</v>
      </c>
      <c r="B368" s="222" t="s">
        <v>418</v>
      </c>
      <c r="C368" s="33" t="s">
        <v>471</v>
      </c>
      <c r="D368" s="40" t="s">
        <v>420</v>
      </c>
      <c r="E368" s="33" t="s">
        <v>367</v>
      </c>
      <c r="F368" s="68">
        <v>10</v>
      </c>
      <c r="G368" s="68">
        <v>10</v>
      </c>
      <c r="H368" s="68">
        <v>10</v>
      </c>
      <c r="I368" s="68">
        <v>10</v>
      </c>
      <c r="J368" s="68">
        <v>10</v>
      </c>
      <c r="K368" s="10"/>
    </row>
    <row r="369" spans="1:11" ht="69.75" customHeight="1" x14ac:dyDescent="0.2">
      <c r="A369" s="221"/>
      <c r="B369" s="223"/>
      <c r="C369" s="33" t="s">
        <v>364</v>
      </c>
      <c r="D369" s="149" t="s">
        <v>302</v>
      </c>
      <c r="E369" s="27" t="s">
        <v>303</v>
      </c>
      <c r="F369" s="68">
        <v>1229.3</v>
      </c>
      <c r="G369" s="68">
        <v>1349</v>
      </c>
      <c r="H369" s="68">
        <v>1311</v>
      </c>
      <c r="I369" s="68">
        <v>1328</v>
      </c>
      <c r="J369" s="68">
        <v>1376</v>
      </c>
      <c r="K369" s="10"/>
    </row>
    <row r="370" spans="1:11" ht="15.75" x14ac:dyDescent="0.2">
      <c r="A370" s="220" t="s">
        <v>1432</v>
      </c>
      <c r="B370" s="222" t="s">
        <v>472</v>
      </c>
      <c r="C370" s="33" t="s">
        <v>473</v>
      </c>
      <c r="D370" s="40" t="s">
        <v>420</v>
      </c>
      <c r="E370" s="33" t="s">
        <v>367</v>
      </c>
      <c r="F370" s="68">
        <v>6</v>
      </c>
      <c r="G370" s="68">
        <v>6</v>
      </c>
      <c r="H370" s="68">
        <v>11</v>
      </c>
      <c r="I370" s="68">
        <v>13</v>
      </c>
      <c r="J370" s="68">
        <v>15</v>
      </c>
      <c r="K370" s="10"/>
    </row>
    <row r="371" spans="1:11" ht="66.75" customHeight="1" x14ac:dyDescent="0.2">
      <c r="A371" s="221"/>
      <c r="B371" s="223"/>
      <c r="C371" s="33" t="s">
        <v>364</v>
      </c>
      <c r="D371" s="149" t="s">
        <v>302</v>
      </c>
      <c r="E371" s="27" t="s">
        <v>303</v>
      </c>
      <c r="F371" s="68">
        <v>737.6</v>
      </c>
      <c r="G371" s="68">
        <v>809.4</v>
      </c>
      <c r="H371" s="68">
        <v>1442.1</v>
      </c>
      <c r="I371" s="68">
        <v>1726.54</v>
      </c>
      <c r="J371" s="68">
        <v>2064</v>
      </c>
      <c r="K371" s="10"/>
    </row>
    <row r="372" spans="1:11" ht="15.75" x14ac:dyDescent="0.2">
      <c r="A372" s="220" t="s">
        <v>1433</v>
      </c>
      <c r="B372" s="222" t="s">
        <v>474</v>
      </c>
      <c r="C372" s="33" t="s">
        <v>475</v>
      </c>
      <c r="D372" s="40" t="s">
        <v>420</v>
      </c>
      <c r="E372" s="33" t="s">
        <v>367</v>
      </c>
      <c r="F372" s="68">
        <v>0</v>
      </c>
      <c r="G372" s="68">
        <v>1</v>
      </c>
      <c r="H372" s="68">
        <v>15</v>
      </c>
      <c r="I372" s="68">
        <v>15</v>
      </c>
      <c r="J372" s="68">
        <v>15</v>
      </c>
      <c r="K372" s="10"/>
    </row>
    <row r="373" spans="1:11" ht="77.25" customHeight="1" x14ac:dyDescent="0.2">
      <c r="A373" s="221"/>
      <c r="B373" s="223"/>
      <c r="C373" s="33" t="s">
        <v>364</v>
      </c>
      <c r="D373" s="149" t="s">
        <v>302</v>
      </c>
      <c r="E373" s="27" t="s">
        <v>303</v>
      </c>
      <c r="F373" s="68">
        <v>0</v>
      </c>
      <c r="G373" s="68">
        <v>134.9</v>
      </c>
      <c r="H373" s="68">
        <v>1966.5</v>
      </c>
      <c r="I373" s="68">
        <v>1992</v>
      </c>
      <c r="J373" s="68">
        <v>2064</v>
      </c>
      <c r="K373" s="10"/>
    </row>
    <row r="374" spans="1:11" ht="15.75" x14ac:dyDescent="0.2">
      <c r="A374" s="220" t="s">
        <v>1434</v>
      </c>
      <c r="B374" s="222" t="s">
        <v>436</v>
      </c>
      <c r="C374" s="33" t="s">
        <v>476</v>
      </c>
      <c r="D374" s="40" t="s">
        <v>420</v>
      </c>
      <c r="E374" s="33" t="s">
        <v>367</v>
      </c>
      <c r="F374" s="68">
        <v>0</v>
      </c>
      <c r="G374" s="68">
        <v>1</v>
      </c>
      <c r="H374" s="68">
        <v>0</v>
      </c>
      <c r="I374" s="68">
        <v>0</v>
      </c>
      <c r="J374" s="68">
        <v>0</v>
      </c>
      <c r="K374" s="10"/>
    </row>
    <row r="375" spans="1:11" ht="78.75" customHeight="1" x14ac:dyDescent="0.2">
      <c r="A375" s="221"/>
      <c r="B375" s="223"/>
      <c r="C375" s="33" t="s">
        <v>364</v>
      </c>
      <c r="D375" s="149" t="s">
        <v>302</v>
      </c>
      <c r="E375" s="27" t="s">
        <v>303</v>
      </c>
      <c r="F375" s="68">
        <v>0</v>
      </c>
      <c r="G375" s="68">
        <v>134.9</v>
      </c>
      <c r="H375" s="68">
        <v>0</v>
      </c>
      <c r="I375" s="68">
        <v>0</v>
      </c>
      <c r="J375" s="68">
        <v>0</v>
      </c>
      <c r="K375" s="10"/>
    </row>
    <row r="376" spans="1:11" ht="15.75" x14ac:dyDescent="0.2">
      <c r="A376" s="220" t="s">
        <v>1435</v>
      </c>
      <c r="B376" s="222" t="s">
        <v>477</v>
      </c>
      <c r="C376" s="33" t="s">
        <v>478</v>
      </c>
      <c r="D376" s="40" t="s">
        <v>420</v>
      </c>
      <c r="E376" s="33" t="s">
        <v>367</v>
      </c>
      <c r="F376" s="68">
        <v>9</v>
      </c>
      <c r="G376" s="68">
        <v>8</v>
      </c>
      <c r="H376" s="68">
        <v>14</v>
      </c>
      <c r="I376" s="68">
        <v>14</v>
      </c>
      <c r="J376" s="68">
        <v>15</v>
      </c>
      <c r="K376" s="10"/>
    </row>
    <row r="377" spans="1:11" ht="69.75" customHeight="1" x14ac:dyDescent="0.2">
      <c r="A377" s="221"/>
      <c r="B377" s="223"/>
      <c r="C377" s="33" t="s">
        <v>364</v>
      </c>
      <c r="D377" s="149" t="s">
        <v>302</v>
      </c>
      <c r="E377" s="27" t="s">
        <v>303</v>
      </c>
      <c r="F377" s="68">
        <v>1106.3</v>
      </c>
      <c r="G377" s="68">
        <v>1079.2</v>
      </c>
      <c r="H377" s="68">
        <v>1835.4</v>
      </c>
      <c r="I377" s="68">
        <v>1859.2</v>
      </c>
      <c r="J377" s="68">
        <v>2064</v>
      </c>
      <c r="K377" s="10"/>
    </row>
    <row r="378" spans="1:11" ht="15.75" x14ac:dyDescent="0.2">
      <c r="A378" s="220" t="s">
        <v>1436</v>
      </c>
      <c r="B378" s="222" t="s">
        <v>479</v>
      </c>
      <c r="C378" s="33" t="s">
        <v>480</v>
      </c>
      <c r="D378" s="40" t="s">
        <v>420</v>
      </c>
      <c r="E378" s="33" t="s">
        <v>367</v>
      </c>
      <c r="F378" s="68">
        <v>5</v>
      </c>
      <c r="G378" s="68">
        <v>6</v>
      </c>
      <c r="H378" s="68">
        <v>10</v>
      </c>
      <c r="I378" s="68">
        <v>11</v>
      </c>
      <c r="J378" s="68">
        <v>12</v>
      </c>
      <c r="K378" s="10"/>
    </row>
    <row r="379" spans="1:11" ht="63" customHeight="1" x14ac:dyDescent="0.2">
      <c r="A379" s="221"/>
      <c r="B379" s="223"/>
      <c r="C379" s="33" t="s">
        <v>364</v>
      </c>
      <c r="D379" s="149" t="s">
        <v>302</v>
      </c>
      <c r="E379" s="27" t="s">
        <v>303</v>
      </c>
      <c r="F379" s="68">
        <v>614.6</v>
      </c>
      <c r="G379" s="68">
        <v>809.4</v>
      </c>
      <c r="H379" s="68">
        <v>1311</v>
      </c>
      <c r="I379" s="68">
        <v>1460.8</v>
      </c>
      <c r="J379" s="68">
        <v>1651.2</v>
      </c>
      <c r="K379" s="10"/>
    </row>
    <row r="380" spans="1:11" ht="15.75" x14ac:dyDescent="0.2">
      <c r="A380" s="220" t="s">
        <v>1437</v>
      </c>
      <c r="B380" s="222" t="s">
        <v>481</v>
      </c>
      <c r="C380" s="33" t="s">
        <v>482</v>
      </c>
      <c r="D380" s="40" t="s">
        <v>420</v>
      </c>
      <c r="E380" s="33" t="s">
        <v>367</v>
      </c>
      <c r="F380" s="68">
        <v>1008</v>
      </c>
      <c r="G380" s="68">
        <v>1008</v>
      </c>
      <c r="H380" s="68">
        <v>1008</v>
      </c>
      <c r="I380" s="68">
        <v>1008</v>
      </c>
      <c r="J380" s="68">
        <v>1008</v>
      </c>
      <c r="K380" s="10"/>
    </row>
    <row r="381" spans="1:11" ht="51" x14ac:dyDescent="0.2">
      <c r="A381" s="221"/>
      <c r="B381" s="223"/>
      <c r="C381" s="33" t="s">
        <v>364</v>
      </c>
      <c r="D381" s="149" t="s">
        <v>302</v>
      </c>
      <c r="E381" s="27" t="s">
        <v>303</v>
      </c>
      <c r="F381" s="68">
        <v>2052</v>
      </c>
      <c r="G381" s="68">
        <v>1979.9</v>
      </c>
      <c r="H381" s="68">
        <v>1999.7</v>
      </c>
      <c r="I381" s="68">
        <v>2084.9</v>
      </c>
      <c r="J381" s="68">
        <v>2180.8000000000002</v>
      </c>
      <c r="K381" s="10"/>
    </row>
    <row r="382" spans="1:11" ht="15.75" x14ac:dyDescent="0.2">
      <c r="A382" s="220" t="s">
        <v>1438</v>
      </c>
      <c r="B382" s="222" t="s">
        <v>483</v>
      </c>
      <c r="C382" s="33" t="s">
        <v>484</v>
      </c>
      <c r="D382" s="40" t="s">
        <v>420</v>
      </c>
      <c r="E382" s="33" t="s">
        <v>367</v>
      </c>
      <c r="F382" s="68">
        <v>21</v>
      </c>
      <c r="G382" s="68">
        <v>22</v>
      </c>
      <c r="H382" s="68">
        <v>30</v>
      </c>
      <c r="I382" s="68">
        <v>37</v>
      </c>
      <c r="J382" s="68">
        <v>41</v>
      </c>
      <c r="K382" s="10"/>
    </row>
    <row r="383" spans="1:11" ht="51" x14ac:dyDescent="0.2">
      <c r="A383" s="221"/>
      <c r="B383" s="223"/>
      <c r="C383" s="33" t="s">
        <v>365</v>
      </c>
      <c r="D383" s="149" t="s">
        <v>302</v>
      </c>
      <c r="E383" s="27" t="s">
        <v>303</v>
      </c>
      <c r="F383" s="68">
        <v>3374.7</v>
      </c>
      <c r="G383" s="68">
        <v>3878.4</v>
      </c>
      <c r="H383" s="68">
        <v>6237.8</v>
      </c>
      <c r="I383" s="68">
        <v>7139</v>
      </c>
      <c r="J383" s="68">
        <v>8228.9</v>
      </c>
      <c r="K383" s="10"/>
    </row>
    <row r="384" spans="1:11" ht="15.75" x14ac:dyDescent="0.2">
      <c r="A384" s="220" t="s">
        <v>1439</v>
      </c>
      <c r="B384" s="222" t="s">
        <v>483</v>
      </c>
      <c r="C384" s="33" t="s">
        <v>485</v>
      </c>
      <c r="D384" s="40" t="s">
        <v>420</v>
      </c>
      <c r="E384" s="33" t="s">
        <v>367</v>
      </c>
      <c r="F384" s="68">
        <v>32</v>
      </c>
      <c r="G384" s="68">
        <v>32</v>
      </c>
      <c r="H384" s="68">
        <v>23</v>
      </c>
      <c r="I384" s="68">
        <v>21</v>
      </c>
      <c r="J384" s="68">
        <v>17</v>
      </c>
      <c r="K384" s="10"/>
    </row>
    <row r="385" spans="1:11" ht="51" x14ac:dyDescent="0.2">
      <c r="A385" s="221"/>
      <c r="B385" s="223"/>
      <c r="C385" s="33" t="s">
        <v>365</v>
      </c>
      <c r="D385" s="149" t="s">
        <v>302</v>
      </c>
      <c r="E385" s="27" t="s">
        <v>303</v>
      </c>
      <c r="F385" s="68">
        <v>5142.3999999999996</v>
      </c>
      <c r="G385" s="68">
        <v>6787</v>
      </c>
      <c r="H385" s="68">
        <v>4782.3999999999996</v>
      </c>
      <c r="I385" s="68">
        <v>4051.8</v>
      </c>
      <c r="J385" s="68">
        <v>3412</v>
      </c>
      <c r="K385" s="10"/>
    </row>
    <row r="386" spans="1:11" ht="15.75" x14ac:dyDescent="0.2">
      <c r="A386" s="220" t="s">
        <v>1440</v>
      </c>
      <c r="B386" s="222" t="s">
        <v>483</v>
      </c>
      <c r="C386" s="33" t="s">
        <v>486</v>
      </c>
      <c r="D386" s="40" t="s">
        <v>420</v>
      </c>
      <c r="E386" s="33" t="s">
        <v>367</v>
      </c>
      <c r="F386" s="68">
        <v>1</v>
      </c>
      <c r="G386" s="68">
        <v>1</v>
      </c>
      <c r="H386" s="68">
        <v>0</v>
      </c>
      <c r="I386" s="68">
        <v>0</v>
      </c>
      <c r="J386" s="68">
        <v>0</v>
      </c>
      <c r="K386" s="10"/>
    </row>
    <row r="387" spans="1:11" ht="58.5" customHeight="1" x14ac:dyDescent="0.2">
      <c r="A387" s="221"/>
      <c r="B387" s="223"/>
      <c r="C387" s="33" t="s">
        <v>365</v>
      </c>
      <c r="D387" s="149" t="s">
        <v>302</v>
      </c>
      <c r="E387" s="27" t="s">
        <v>303</v>
      </c>
      <c r="F387" s="68">
        <v>160.69999999999999</v>
      </c>
      <c r="G387" s="68">
        <v>193.9</v>
      </c>
      <c r="H387" s="68">
        <v>0</v>
      </c>
      <c r="I387" s="68">
        <v>0</v>
      </c>
      <c r="J387" s="68">
        <v>0</v>
      </c>
      <c r="K387" s="10"/>
    </row>
    <row r="388" spans="1:11" ht="15.75" x14ac:dyDescent="0.2">
      <c r="A388" s="220" t="s">
        <v>1441</v>
      </c>
      <c r="B388" s="222" t="s">
        <v>487</v>
      </c>
      <c r="C388" s="33" t="s">
        <v>488</v>
      </c>
      <c r="D388" s="40" t="s">
        <v>489</v>
      </c>
      <c r="E388" s="33" t="s">
        <v>367</v>
      </c>
      <c r="F388" s="68">
        <v>185</v>
      </c>
      <c r="G388" s="68">
        <v>196</v>
      </c>
      <c r="H388" s="68">
        <v>196</v>
      </c>
      <c r="I388" s="68">
        <v>196</v>
      </c>
      <c r="J388" s="68">
        <v>196</v>
      </c>
      <c r="K388" s="10"/>
    </row>
    <row r="389" spans="1:11" ht="90.75" customHeight="1" x14ac:dyDescent="0.2">
      <c r="A389" s="221"/>
      <c r="B389" s="223"/>
      <c r="C389" s="33" t="s">
        <v>365</v>
      </c>
      <c r="D389" s="149" t="s">
        <v>302</v>
      </c>
      <c r="E389" s="27" t="s">
        <v>303</v>
      </c>
      <c r="F389" s="68">
        <v>59976.5</v>
      </c>
      <c r="G389" s="68">
        <v>61551.7</v>
      </c>
      <c r="H389" s="68">
        <v>60458.3</v>
      </c>
      <c r="I389" s="68">
        <v>61188.4</v>
      </c>
      <c r="J389" s="68">
        <v>64247.3</v>
      </c>
      <c r="K389" s="10"/>
    </row>
    <row r="390" spans="1:11" ht="15.75" x14ac:dyDescent="0.2">
      <c r="A390" s="220" t="s">
        <v>1442</v>
      </c>
      <c r="B390" s="222" t="s">
        <v>490</v>
      </c>
      <c r="C390" s="33" t="s">
        <v>491</v>
      </c>
      <c r="D390" s="40" t="s">
        <v>489</v>
      </c>
      <c r="E390" s="33" t="s">
        <v>367</v>
      </c>
      <c r="F390" s="68">
        <v>24</v>
      </c>
      <c r="G390" s="68">
        <v>25</v>
      </c>
      <c r="H390" s="68">
        <v>25</v>
      </c>
      <c r="I390" s="68">
        <v>25</v>
      </c>
      <c r="J390" s="68">
        <v>25</v>
      </c>
      <c r="K390" s="10"/>
    </row>
    <row r="391" spans="1:11" ht="96" customHeight="1" x14ac:dyDescent="0.2">
      <c r="A391" s="221"/>
      <c r="B391" s="223"/>
      <c r="C391" s="33" t="s">
        <v>365</v>
      </c>
      <c r="D391" s="149" t="s">
        <v>302</v>
      </c>
      <c r="E391" s="27" t="s">
        <v>303</v>
      </c>
      <c r="F391" s="68">
        <v>7344.1</v>
      </c>
      <c r="G391" s="68">
        <v>7397.1</v>
      </c>
      <c r="H391" s="68">
        <v>7711.5</v>
      </c>
      <c r="I391" s="68">
        <v>7804.6</v>
      </c>
      <c r="J391" s="68">
        <v>8194.7999999999993</v>
      </c>
      <c r="K391" s="10"/>
    </row>
    <row r="392" spans="1:11" ht="15.75" x14ac:dyDescent="0.2">
      <c r="A392" s="220" t="s">
        <v>1443</v>
      </c>
      <c r="B392" s="222" t="s">
        <v>492</v>
      </c>
      <c r="C392" s="33" t="s">
        <v>493</v>
      </c>
      <c r="D392" s="40" t="s">
        <v>489</v>
      </c>
      <c r="E392" s="33" t="s">
        <v>367</v>
      </c>
      <c r="F392" s="68">
        <v>29</v>
      </c>
      <c r="G392" s="68">
        <v>30</v>
      </c>
      <c r="H392" s="68">
        <v>30</v>
      </c>
      <c r="I392" s="68">
        <v>30</v>
      </c>
      <c r="J392" s="68">
        <v>30</v>
      </c>
      <c r="K392" s="10"/>
    </row>
    <row r="393" spans="1:11" ht="51" x14ac:dyDescent="0.2">
      <c r="A393" s="221"/>
      <c r="B393" s="223"/>
      <c r="C393" s="33" t="s">
        <v>365</v>
      </c>
      <c r="D393" s="149" t="s">
        <v>302</v>
      </c>
      <c r="E393" s="27" t="s">
        <v>303</v>
      </c>
      <c r="F393" s="68">
        <v>8874.1</v>
      </c>
      <c r="G393" s="68">
        <v>9002.7999999999993</v>
      </c>
      <c r="H393" s="68">
        <v>9253.7999999999993</v>
      </c>
      <c r="I393" s="68">
        <v>9365.6</v>
      </c>
      <c r="J393" s="68">
        <v>9833.7999999999993</v>
      </c>
      <c r="K393" s="10"/>
    </row>
    <row r="394" spans="1:11" ht="15.75" x14ac:dyDescent="0.2">
      <c r="A394" s="220" t="s">
        <v>1444</v>
      </c>
      <c r="B394" s="222" t="s">
        <v>494</v>
      </c>
      <c r="C394" s="33" t="s">
        <v>495</v>
      </c>
      <c r="D394" s="40" t="s">
        <v>489</v>
      </c>
      <c r="E394" s="33" t="s">
        <v>367</v>
      </c>
      <c r="F394" s="68">
        <v>18</v>
      </c>
      <c r="G394" s="68">
        <v>18</v>
      </c>
      <c r="H394" s="68">
        <v>18</v>
      </c>
      <c r="I394" s="68">
        <v>18</v>
      </c>
      <c r="J394" s="68">
        <v>18</v>
      </c>
      <c r="K394" s="10"/>
    </row>
    <row r="395" spans="1:11" ht="51" x14ac:dyDescent="0.2">
      <c r="A395" s="221"/>
      <c r="B395" s="223"/>
      <c r="C395" s="33" t="s">
        <v>365</v>
      </c>
      <c r="D395" s="149" t="s">
        <v>302</v>
      </c>
      <c r="E395" s="27" t="s">
        <v>303</v>
      </c>
      <c r="F395" s="68">
        <v>5202.1000000000004</v>
      </c>
      <c r="G395" s="68">
        <v>4833.6000000000004</v>
      </c>
      <c r="H395" s="68">
        <v>5552.3</v>
      </c>
      <c r="I395" s="68">
        <v>5619.3</v>
      </c>
      <c r="J395" s="68">
        <v>5900.3</v>
      </c>
      <c r="K395" s="10"/>
    </row>
    <row r="396" spans="1:11" ht="15.75" x14ac:dyDescent="0.2">
      <c r="A396" s="220" t="s">
        <v>1445</v>
      </c>
      <c r="B396" s="222" t="s">
        <v>496</v>
      </c>
      <c r="C396" s="33" t="s">
        <v>497</v>
      </c>
      <c r="D396" s="40" t="s">
        <v>420</v>
      </c>
      <c r="E396" s="33" t="s">
        <v>367</v>
      </c>
      <c r="F396" s="68">
        <v>61</v>
      </c>
      <c r="G396" s="68">
        <v>64</v>
      </c>
      <c r="H396" s="68">
        <v>64</v>
      </c>
      <c r="I396" s="68">
        <v>64</v>
      </c>
      <c r="J396" s="68">
        <v>64</v>
      </c>
      <c r="K396" s="10"/>
    </row>
    <row r="397" spans="1:11" ht="74.25" customHeight="1" x14ac:dyDescent="0.2">
      <c r="A397" s="221"/>
      <c r="B397" s="223"/>
      <c r="C397" s="33" t="s">
        <v>365</v>
      </c>
      <c r="D397" s="149" t="s">
        <v>302</v>
      </c>
      <c r="E397" s="27" t="s">
        <v>303</v>
      </c>
      <c r="F397" s="68">
        <v>14287.4</v>
      </c>
      <c r="G397" s="68">
        <v>17330</v>
      </c>
      <c r="H397" s="68">
        <v>16685.099999999999</v>
      </c>
      <c r="I397" s="68">
        <v>16931.2</v>
      </c>
      <c r="J397" s="68">
        <v>17495.2</v>
      </c>
      <c r="K397" s="10"/>
    </row>
    <row r="398" spans="1:11" ht="15.75" x14ac:dyDescent="0.2">
      <c r="A398" s="220" t="s">
        <v>1446</v>
      </c>
      <c r="B398" s="222" t="s">
        <v>498</v>
      </c>
      <c r="C398" s="33" t="s">
        <v>499</v>
      </c>
      <c r="D398" s="40" t="s">
        <v>420</v>
      </c>
      <c r="E398" s="33" t="s">
        <v>367</v>
      </c>
      <c r="F398" s="68">
        <v>63</v>
      </c>
      <c r="G398" s="68">
        <v>64</v>
      </c>
      <c r="H398" s="68">
        <v>64</v>
      </c>
      <c r="I398" s="68">
        <v>64</v>
      </c>
      <c r="J398" s="68">
        <v>64</v>
      </c>
      <c r="K398" s="10"/>
    </row>
    <row r="399" spans="1:11" ht="78" customHeight="1" x14ac:dyDescent="0.2">
      <c r="A399" s="221"/>
      <c r="B399" s="223"/>
      <c r="C399" s="33" t="s">
        <v>365</v>
      </c>
      <c r="D399" s="149" t="s">
        <v>302</v>
      </c>
      <c r="E399" s="27" t="s">
        <v>303</v>
      </c>
      <c r="F399" s="68">
        <v>14287.4</v>
      </c>
      <c r="G399" s="68">
        <v>17329.900000000001</v>
      </c>
      <c r="H399" s="68">
        <v>16685</v>
      </c>
      <c r="I399" s="68">
        <v>16931.2</v>
      </c>
      <c r="J399" s="68">
        <v>17495.2</v>
      </c>
      <c r="K399" s="10"/>
    </row>
    <row r="400" spans="1:11" ht="15.75" x14ac:dyDescent="0.2">
      <c r="A400" s="220" t="s">
        <v>1447</v>
      </c>
      <c r="B400" s="222" t="s">
        <v>500</v>
      </c>
      <c r="C400" s="33" t="s">
        <v>501</v>
      </c>
      <c r="D400" s="40" t="s">
        <v>502</v>
      </c>
      <c r="E400" s="33" t="s">
        <v>367</v>
      </c>
      <c r="F400" s="68">
        <v>194607</v>
      </c>
      <c r="G400" s="68">
        <v>57977</v>
      </c>
      <c r="H400" s="68">
        <v>220600</v>
      </c>
      <c r="I400" s="68">
        <v>221632</v>
      </c>
      <c r="J400" s="68">
        <v>228979</v>
      </c>
      <c r="K400" s="10"/>
    </row>
    <row r="401" spans="1:11" ht="51" x14ac:dyDescent="0.2">
      <c r="A401" s="221"/>
      <c r="B401" s="223"/>
      <c r="C401" s="33" t="s">
        <v>362</v>
      </c>
      <c r="D401" s="149" t="s">
        <v>302</v>
      </c>
      <c r="E401" s="27" t="s">
        <v>303</v>
      </c>
      <c r="F401" s="68">
        <v>104835.59999999999</v>
      </c>
      <c r="G401" s="68">
        <v>130357.90000000001</v>
      </c>
      <c r="H401" s="68">
        <v>137644.20000000001</v>
      </c>
      <c r="I401" s="68">
        <v>141171</v>
      </c>
      <c r="J401" s="68">
        <v>145060.29999999999</v>
      </c>
      <c r="K401" s="10"/>
    </row>
    <row r="402" spans="1:11" ht="15.75" x14ac:dyDescent="0.2">
      <c r="A402" s="220" t="s">
        <v>1448</v>
      </c>
      <c r="B402" s="222" t="s">
        <v>503</v>
      </c>
      <c r="C402" s="33" t="s">
        <v>501</v>
      </c>
      <c r="D402" s="40" t="s">
        <v>369</v>
      </c>
      <c r="E402" s="33" t="s">
        <v>367</v>
      </c>
      <c r="F402" s="68">
        <v>11076</v>
      </c>
      <c r="G402" s="68">
        <v>2911</v>
      </c>
      <c r="H402" s="68">
        <v>11093</v>
      </c>
      <c r="I402" s="68">
        <v>11425</v>
      </c>
      <c r="J402" s="68">
        <v>11769</v>
      </c>
      <c r="K402" s="10"/>
    </row>
    <row r="403" spans="1:11" ht="51" x14ac:dyDescent="0.2">
      <c r="A403" s="221"/>
      <c r="B403" s="223"/>
      <c r="C403" s="33" t="s">
        <v>361</v>
      </c>
      <c r="D403" s="149" t="s">
        <v>302</v>
      </c>
      <c r="E403" s="27" t="s">
        <v>303</v>
      </c>
      <c r="F403" s="68">
        <v>7980.8</v>
      </c>
      <c r="G403" s="68">
        <v>8145.1</v>
      </c>
      <c r="H403" s="68">
        <v>8340.4</v>
      </c>
      <c r="I403" s="68">
        <v>8817.0999999999985</v>
      </c>
      <c r="J403" s="68">
        <v>9328</v>
      </c>
      <c r="K403" s="10"/>
    </row>
    <row r="404" spans="1:11" ht="15.75" x14ac:dyDescent="0.2">
      <c r="A404" s="220" t="s">
        <v>1449</v>
      </c>
      <c r="B404" s="222" t="s">
        <v>500</v>
      </c>
      <c r="C404" s="33" t="s">
        <v>504</v>
      </c>
      <c r="D404" s="40" t="s">
        <v>502</v>
      </c>
      <c r="E404" s="33" t="s">
        <v>367</v>
      </c>
      <c r="F404" s="68">
        <v>61477</v>
      </c>
      <c r="G404" s="68">
        <v>14512</v>
      </c>
      <c r="H404" s="68">
        <v>118642</v>
      </c>
      <c r="I404" s="68">
        <v>122040</v>
      </c>
      <c r="J404" s="68">
        <v>125948</v>
      </c>
      <c r="K404" s="10"/>
    </row>
    <row r="405" spans="1:11" ht="51" x14ac:dyDescent="0.2">
      <c r="A405" s="221"/>
      <c r="B405" s="223"/>
      <c r="C405" s="33" t="s">
        <v>362</v>
      </c>
      <c r="D405" s="149" t="s">
        <v>302</v>
      </c>
      <c r="E405" s="27" t="s">
        <v>303</v>
      </c>
      <c r="F405" s="68">
        <v>28501.199999999997</v>
      </c>
      <c r="G405" s="68">
        <v>35349.5</v>
      </c>
      <c r="H405" s="68">
        <v>37966.1</v>
      </c>
      <c r="I405" s="68">
        <v>38346.400000000001</v>
      </c>
      <c r="J405" s="68">
        <v>39629.4</v>
      </c>
      <c r="K405" s="10"/>
    </row>
    <row r="406" spans="1:11" ht="15.75" x14ac:dyDescent="0.2">
      <c r="A406" s="220" t="s">
        <v>1450</v>
      </c>
      <c r="B406" s="222" t="s">
        <v>503</v>
      </c>
      <c r="C406" s="33" t="s">
        <v>504</v>
      </c>
      <c r="D406" s="40" t="s">
        <v>369</v>
      </c>
      <c r="E406" s="33" t="s">
        <v>367</v>
      </c>
      <c r="F406" s="68">
        <v>35727</v>
      </c>
      <c r="G406" s="68">
        <v>8203</v>
      </c>
      <c r="H406" s="68">
        <v>35807</v>
      </c>
      <c r="I406" s="68">
        <v>36875</v>
      </c>
      <c r="J406" s="68">
        <v>37981</v>
      </c>
      <c r="K406" s="10"/>
    </row>
    <row r="407" spans="1:11" ht="51" x14ac:dyDescent="0.2">
      <c r="A407" s="221"/>
      <c r="B407" s="223"/>
      <c r="C407" s="33" t="s">
        <v>361</v>
      </c>
      <c r="D407" s="149" t="s">
        <v>302</v>
      </c>
      <c r="E407" s="27" t="s">
        <v>303</v>
      </c>
      <c r="F407" s="68">
        <v>12757.2</v>
      </c>
      <c r="G407" s="68">
        <v>13017.4</v>
      </c>
      <c r="H407" s="68">
        <v>13328.5</v>
      </c>
      <c r="I407" s="68">
        <v>14092.2</v>
      </c>
      <c r="J407" s="68">
        <v>14909.5</v>
      </c>
      <c r="K407" s="10"/>
    </row>
    <row r="408" spans="1:11" ht="15.75" x14ac:dyDescent="0.2">
      <c r="A408" s="220" t="s">
        <v>1451</v>
      </c>
      <c r="B408" s="222" t="s">
        <v>500</v>
      </c>
      <c r="C408" s="33" t="s">
        <v>505</v>
      </c>
      <c r="D408" s="40" t="s">
        <v>502</v>
      </c>
      <c r="E408" s="33" t="s">
        <v>367</v>
      </c>
      <c r="F408" s="68">
        <v>24001</v>
      </c>
      <c r="G408" s="68">
        <v>3264</v>
      </c>
      <c r="H408" s="68">
        <v>17670</v>
      </c>
      <c r="I408" s="68">
        <v>23540</v>
      </c>
      <c r="J408" s="68">
        <v>24640</v>
      </c>
      <c r="K408" s="10"/>
    </row>
    <row r="409" spans="1:11" ht="51" x14ac:dyDescent="0.2">
      <c r="A409" s="221"/>
      <c r="B409" s="223"/>
      <c r="C409" s="33" t="s">
        <v>362</v>
      </c>
      <c r="D409" s="149" t="s">
        <v>302</v>
      </c>
      <c r="E409" s="27" t="s">
        <v>303</v>
      </c>
      <c r="F409" s="68">
        <v>13836.199999999999</v>
      </c>
      <c r="G409" s="68">
        <v>13756.099999999999</v>
      </c>
      <c r="H409" s="68">
        <v>14556</v>
      </c>
      <c r="I409" s="68">
        <v>14472.1</v>
      </c>
      <c r="J409" s="68">
        <v>14746.2</v>
      </c>
      <c r="K409" s="10"/>
    </row>
    <row r="410" spans="1:11" ht="15.75" x14ac:dyDescent="0.2">
      <c r="A410" s="220" t="s">
        <v>1452</v>
      </c>
      <c r="B410" s="222" t="s">
        <v>503</v>
      </c>
      <c r="C410" s="33" t="s">
        <v>505</v>
      </c>
      <c r="D410" s="40" t="s">
        <v>369</v>
      </c>
      <c r="E410" s="33" t="s">
        <v>367</v>
      </c>
      <c r="F410" s="68">
        <v>1020</v>
      </c>
      <c r="G410" s="68">
        <v>0</v>
      </c>
      <c r="H410" s="68">
        <v>1000</v>
      </c>
      <c r="I410" s="68">
        <v>1000</v>
      </c>
      <c r="J410" s="68">
        <v>1000</v>
      </c>
      <c r="K410" s="10"/>
    </row>
    <row r="411" spans="1:11" ht="51" x14ac:dyDescent="0.2">
      <c r="A411" s="221"/>
      <c r="B411" s="223"/>
      <c r="C411" s="33" t="s">
        <v>361</v>
      </c>
      <c r="D411" s="149" t="s">
        <v>302</v>
      </c>
      <c r="E411" s="27" t="s">
        <v>303</v>
      </c>
      <c r="F411" s="68">
        <v>1945.2</v>
      </c>
      <c r="G411" s="68">
        <v>1984.9</v>
      </c>
      <c r="H411" s="68">
        <v>2032.3</v>
      </c>
      <c r="I411" s="68">
        <v>2148.8000000000002</v>
      </c>
      <c r="J411" s="68">
        <v>2273.4</v>
      </c>
      <c r="K411" s="10"/>
    </row>
    <row r="412" spans="1:11" ht="15.75" x14ac:dyDescent="0.2">
      <c r="A412" s="220" t="s">
        <v>1453</v>
      </c>
      <c r="B412" s="222" t="s">
        <v>500</v>
      </c>
      <c r="C412" s="33" t="s">
        <v>506</v>
      </c>
      <c r="D412" s="40" t="s">
        <v>502</v>
      </c>
      <c r="E412" s="33" t="s">
        <v>367</v>
      </c>
      <c r="F412" s="68">
        <v>6809</v>
      </c>
      <c r="G412" s="68">
        <v>0</v>
      </c>
      <c r="H412" s="68">
        <v>0</v>
      </c>
      <c r="I412" s="68">
        <v>0</v>
      </c>
      <c r="J412" s="68">
        <v>0</v>
      </c>
      <c r="K412" s="10"/>
    </row>
    <row r="413" spans="1:11" ht="51" x14ac:dyDescent="0.2">
      <c r="A413" s="221"/>
      <c r="B413" s="223"/>
      <c r="C413" s="33" t="s">
        <v>362</v>
      </c>
      <c r="D413" s="149" t="s">
        <v>302</v>
      </c>
      <c r="E413" s="27" t="s">
        <v>303</v>
      </c>
      <c r="F413" s="68">
        <v>2219.5</v>
      </c>
      <c r="G413" s="68">
        <v>0</v>
      </c>
      <c r="H413" s="68">
        <v>0</v>
      </c>
      <c r="I413" s="68">
        <v>0</v>
      </c>
      <c r="J413" s="68">
        <v>0</v>
      </c>
      <c r="K413" s="10"/>
    </row>
    <row r="414" spans="1:11" ht="42.75" customHeight="1" x14ac:dyDescent="0.2">
      <c r="A414" s="220" t="s">
        <v>1454</v>
      </c>
      <c r="B414" s="222" t="s">
        <v>507</v>
      </c>
      <c r="C414" s="33" t="s">
        <v>508</v>
      </c>
      <c r="D414" s="40" t="s">
        <v>509</v>
      </c>
      <c r="E414" s="33" t="s">
        <v>23</v>
      </c>
      <c r="F414" s="68">
        <v>14</v>
      </c>
      <c r="G414" s="68">
        <v>16</v>
      </c>
      <c r="H414" s="68">
        <v>19</v>
      </c>
      <c r="I414" s="68">
        <v>19</v>
      </c>
      <c r="J414" s="68">
        <v>17</v>
      </c>
      <c r="K414" s="10"/>
    </row>
    <row r="415" spans="1:11" ht="63" customHeight="1" x14ac:dyDescent="0.2">
      <c r="A415" s="221"/>
      <c r="B415" s="223"/>
      <c r="C415" s="33" t="s">
        <v>362</v>
      </c>
      <c r="D415" s="149" t="s">
        <v>302</v>
      </c>
      <c r="E415" s="27" t="s">
        <v>303</v>
      </c>
      <c r="F415" s="68">
        <v>47123.299999999996</v>
      </c>
      <c r="G415" s="68">
        <v>74963.899999999994</v>
      </c>
      <c r="H415" s="68">
        <v>78566.299999999988</v>
      </c>
      <c r="I415" s="68">
        <v>82736.7</v>
      </c>
      <c r="J415" s="68">
        <v>86279.5</v>
      </c>
      <c r="K415" s="10"/>
    </row>
    <row r="416" spans="1:11" ht="25.5" x14ac:dyDescent="0.2">
      <c r="A416" s="220" t="s">
        <v>1455</v>
      </c>
      <c r="B416" s="222" t="s">
        <v>507</v>
      </c>
      <c r="C416" s="33" t="s">
        <v>510</v>
      </c>
      <c r="D416" s="40" t="s">
        <v>511</v>
      </c>
      <c r="E416" s="33" t="s">
        <v>23</v>
      </c>
      <c r="F416" s="68">
        <v>3</v>
      </c>
      <c r="G416" s="68">
        <v>3</v>
      </c>
      <c r="H416" s="68">
        <v>3</v>
      </c>
      <c r="I416" s="68">
        <v>3</v>
      </c>
      <c r="J416" s="68">
        <v>3</v>
      </c>
      <c r="K416" s="10"/>
    </row>
    <row r="417" spans="1:11" ht="64.5" customHeight="1" x14ac:dyDescent="0.2">
      <c r="A417" s="221"/>
      <c r="B417" s="223"/>
      <c r="C417" s="33" t="s">
        <v>361</v>
      </c>
      <c r="D417" s="149" t="s">
        <v>302</v>
      </c>
      <c r="E417" s="27" t="s">
        <v>303</v>
      </c>
      <c r="F417" s="68">
        <v>8938.4</v>
      </c>
      <c r="G417" s="68">
        <v>9120.7000000000007</v>
      </c>
      <c r="H417" s="68">
        <v>9338.7000000000007</v>
      </c>
      <c r="I417" s="68">
        <v>9873.7999999999993</v>
      </c>
      <c r="J417" s="68">
        <v>10446.5</v>
      </c>
      <c r="K417" s="10"/>
    </row>
    <row r="418" spans="1:11" ht="25.5" x14ac:dyDescent="0.2">
      <c r="A418" s="220" t="s">
        <v>1456</v>
      </c>
      <c r="B418" s="222" t="s">
        <v>507</v>
      </c>
      <c r="C418" s="33" t="s">
        <v>512</v>
      </c>
      <c r="D418" s="40" t="s">
        <v>513</v>
      </c>
      <c r="E418" s="33" t="s">
        <v>371</v>
      </c>
      <c r="F418" s="68">
        <v>5</v>
      </c>
      <c r="G418" s="68">
        <v>5</v>
      </c>
      <c r="H418" s="68">
        <v>5</v>
      </c>
      <c r="I418" s="68">
        <v>5</v>
      </c>
      <c r="J418" s="68">
        <v>5</v>
      </c>
      <c r="K418" s="10"/>
    </row>
    <row r="419" spans="1:11" ht="54" customHeight="1" x14ac:dyDescent="0.2">
      <c r="A419" s="221"/>
      <c r="B419" s="223"/>
      <c r="C419" s="33" t="s">
        <v>362</v>
      </c>
      <c r="D419" s="149" t="s">
        <v>302</v>
      </c>
      <c r="E419" s="27" t="s">
        <v>303</v>
      </c>
      <c r="F419" s="68">
        <v>31835</v>
      </c>
      <c r="G419" s="68">
        <v>32949.199999999997</v>
      </c>
      <c r="H419" s="68">
        <v>34675.699999999997</v>
      </c>
      <c r="I419" s="68">
        <v>36633.1</v>
      </c>
      <c r="J419" s="68">
        <v>37461</v>
      </c>
      <c r="K419" s="10"/>
    </row>
    <row r="420" spans="1:11" ht="48.75" customHeight="1" x14ac:dyDescent="0.2">
      <c r="A420" s="220" t="s">
        <v>1457</v>
      </c>
      <c r="B420" s="222" t="s">
        <v>507</v>
      </c>
      <c r="C420" s="33" t="s">
        <v>514</v>
      </c>
      <c r="D420" s="40" t="s">
        <v>511</v>
      </c>
      <c r="E420" s="33" t="s">
        <v>23</v>
      </c>
      <c r="F420" s="68">
        <v>3</v>
      </c>
      <c r="G420" s="68">
        <v>2</v>
      </c>
      <c r="H420" s="68">
        <v>2</v>
      </c>
      <c r="I420" s="68">
        <v>2</v>
      </c>
      <c r="J420" s="68">
        <v>2</v>
      </c>
      <c r="K420" s="10"/>
    </row>
    <row r="421" spans="1:11" ht="61.5" customHeight="1" x14ac:dyDescent="0.2">
      <c r="A421" s="221"/>
      <c r="B421" s="223"/>
      <c r="C421" s="33" t="s">
        <v>362</v>
      </c>
      <c r="D421" s="149" t="s">
        <v>302</v>
      </c>
      <c r="E421" s="27" t="s">
        <v>303</v>
      </c>
      <c r="F421" s="68">
        <v>13017.3</v>
      </c>
      <c r="G421" s="68">
        <v>13676</v>
      </c>
      <c r="H421" s="68">
        <v>15241.9</v>
      </c>
      <c r="I421" s="68">
        <v>15715.9</v>
      </c>
      <c r="J421" s="68">
        <v>16563</v>
      </c>
      <c r="K421" s="10"/>
    </row>
    <row r="422" spans="1:11" ht="15.75" x14ac:dyDescent="0.2">
      <c r="A422" s="220" t="s">
        <v>1458</v>
      </c>
      <c r="B422" s="222" t="s">
        <v>515</v>
      </c>
      <c r="C422" s="33" t="s">
        <v>516</v>
      </c>
      <c r="D422" s="40" t="s">
        <v>369</v>
      </c>
      <c r="E422" s="33" t="s">
        <v>367</v>
      </c>
      <c r="F422" s="68">
        <v>15836</v>
      </c>
      <c r="G422" s="68">
        <v>6925</v>
      </c>
      <c r="H422" s="68">
        <v>16850</v>
      </c>
      <c r="I422" s="68">
        <v>17682</v>
      </c>
      <c r="J422" s="68">
        <v>17767</v>
      </c>
      <c r="K422" s="10"/>
    </row>
    <row r="423" spans="1:11" ht="61.5" customHeight="1" x14ac:dyDescent="0.2">
      <c r="A423" s="221"/>
      <c r="B423" s="223"/>
      <c r="C423" s="33" t="s">
        <v>362</v>
      </c>
      <c r="D423" s="149" t="s">
        <v>302</v>
      </c>
      <c r="E423" s="27" t="s">
        <v>303</v>
      </c>
      <c r="F423" s="68">
        <v>26495.8</v>
      </c>
      <c r="G423" s="68">
        <v>27393.3</v>
      </c>
      <c r="H423" s="68">
        <v>29131.800000000003</v>
      </c>
      <c r="I423" s="68">
        <v>28949.999999999996</v>
      </c>
      <c r="J423" s="68">
        <v>30001.1</v>
      </c>
      <c r="K423" s="10"/>
    </row>
    <row r="424" spans="1:11" ht="15.75" x14ac:dyDescent="0.2">
      <c r="A424" s="220" t="s">
        <v>1459</v>
      </c>
      <c r="B424" s="222" t="s">
        <v>515</v>
      </c>
      <c r="C424" s="33" t="s">
        <v>517</v>
      </c>
      <c r="D424" s="40" t="s">
        <v>369</v>
      </c>
      <c r="E424" s="33" t="s">
        <v>367</v>
      </c>
      <c r="F424" s="68">
        <v>163242</v>
      </c>
      <c r="G424" s="68">
        <v>34134</v>
      </c>
      <c r="H424" s="68">
        <v>168015</v>
      </c>
      <c r="I424" s="68">
        <v>173145</v>
      </c>
      <c r="J424" s="68">
        <v>178504</v>
      </c>
      <c r="K424" s="10"/>
    </row>
    <row r="425" spans="1:11" ht="61.5" customHeight="1" x14ac:dyDescent="0.2">
      <c r="A425" s="221"/>
      <c r="B425" s="223"/>
      <c r="C425" s="33" t="s">
        <v>362</v>
      </c>
      <c r="D425" s="149" t="s">
        <v>302</v>
      </c>
      <c r="E425" s="27" t="s">
        <v>303</v>
      </c>
      <c r="F425" s="68">
        <v>151031.5</v>
      </c>
      <c r="G425" s="68">
        <v>156488.30000000002</v>
      </c>
      <c r="H425" s="68">
        <v>168530.8</v>
      </c>
      <c r="I425" s="68">
        <v>176884.6</v>
      </c>
      <c r="J425" s="68">
        <v>187920.8</v>
      </c>
      <c r="K425" s="10"/>
    </row>
    <row r="426" spans="1:11" ht="15.75" x14ac:dyDescent="0.2">
      <c r="A426" s="220" t="s">
        <v>1460</v>
      </c>
      <c r="B426" s="222" t="s">
        <v>515</v>
      </c>
      <c r="C426" s="33" t="s">
        <v>518</v>
      </c>
      <c r="D426" s="40" t="s">
        <v>369</v>
      </c>
      <c r="E426" s="33" t="s">
        <v>367</v>
      </c>
      <c r="F426" s="68">
        <v>3881</v>
      </c>
      <c r="G426" s="68">
        <v>0</v>
      </c>
      <c r="H426" s="68">
        <v>0</v>
      </c>
      <c r="I426" s="68">
        <v>0</v>
      </c>
      <c r="J426" s="68">
        <v>0</v>
      </c>
      <c r="K426" s="10"/>
    </row>
    <row r="427" spans="1:11" ht="64.5" customHeight="1" x14ac:dyDescent="0.2">
      <c r="A427" s="221"/>
      <c r="B427" s="223"/>
      <c r="C427" s="33" t="s">
        <v>362</v>
      </c>
      <c r="D427" s="149" t="s">
        <v>302</v>
      </c>
      <c r="E427" s="27" t="s">
        <v>303</v>
      </c>
      <c r="F427" s="68">
        <v>9522.7000000000007</v>
      </c>
      <c r="G427" s="68">
        <v>0</v>
      </c>
      <c r="H427" s="68">
        <v>0</v>
      </c>
      <c r="I427" s="68">
        <v>0</v>
      </c>
      <c r="J427" s="68">
        <v>0</v>
      </c>
      <c r="K427" s="10"/>
    </row>
    <row r="428" spans="1:11" ht="15.75" x14ac:dyDescent="0.2">
      <c r="A428" s="220" t="s">
        <v>1461</v>
      </c>
      <c r="B428" s="222" t="s">
        <v>519</v>
      </c>
      <c r="C428" s="33" t="s">
        <v>520</v>
      </c>
      <c r="D428" s="40" t="s">
        <v>369</v>
      </c>
      <c r="E428" s="33" t="s">
        <v>367</v>
      </c>
      <c r="F428" s="68">
        <v>3243</v>
      </c>
      <c r="G428" s="68">
        <v>435</v>
      </c>
      <c r="H428" s="68">
        <v>1560</v>
      </c>
      <c r="I428" s="68">
        <v>1630</v>
      </c>
      <c r="J428" s="68">
        <v>1690</v>
      </c>
      <c r="K428" s="10"/>
    </row>
    <row r="429" spans="1:11" ht="62.25" customHeight="1" x14ac:dyDescent="0.2">
      <c r="A429" s="221"/>
      <c r="B429" s="223"/>
      <c r="C429" s="33" t="s">
        <v>362</v>
      </c>
      <c r="D429" s="149" t="s">
        <v>302</v>
      </c>
      <c r="E429" s="27" t="s">
        <v>303</v>
      </c>
      <c r="F429" s="68">
        <v>4272.1000000000004</v>
      </c>
      <c r="G429" s="68">
        <v>2884.9</v>
      </c>
      <c r="H429" s="68">
        <v>3083.4</v>
      </c>
      <c r="I429" s="68">
        <v>3162.2</v>
      </c>
      <c r="J429" s="68">
        <v>3325.2</v>
      </c>
      <c r="K429" s="10"/>
    </row>
    <row r="430" spans="1:11" ht="15.75" x14ac:dyDescent="0.2">
      <c r="A430" s="220" t="s">
        <v>1462</v>
      </c>
      <c r="B430" s="222" t="s">
        <v>521</v>
      </c>
      <c r="C430" s="33" t="s">
        <v>522</v>
      </c>
      <c r="D430" s="40" t="s">
        <v>369</v>
      </c>
      <c r="E430" s="33" t="s">
        <v>367</v>
      </c>
      <c r="F430" s="68">
        <v>97488</v>
      </c>
      <c r="G430" s="68">
        <v>10239</v>
      </c>
      <c r="H430" s="68">
        <v>103350</v>
      </c>
      <c r="I430" s="68">
        <v>106450</v>
      </c>
      <c r="J430" s="68">
        <v>109720</v>
      </c>
      <c r="K430" s="10"/>
    </row>
    <row r="431" spans="1:11" ht="61.5" customHeight="1" x14ac:dyDescent="0.2">
      <c r="A431" s="221"/>
      <c r="B431" s="223"/>
      <c r="C431" s="33" t="s">
        <v>362</v>
      </c>
      <c r="D431" s="149" t="s">
        <v>302</v>
      </c>
      <c r="E431" s="27" t="s">
        <v>303</v>
      </c>
      <c r="F431" s="68">
        <v>7392.1</v>
      </c>
      <c r="G431" s="68">
        <v>7654.9</v>
      </c>
      <c r="H431" s="68">
        <v>8255.7999999999993</v>
      </c>
      <c r="I431" s="68">
        <v>8723.4</v>
      </c>
      <c r="J431" s="68">
        <v>9298.1999999999989</v>
      </c>
      <c r="K431" s="10"/>
    </row>
    <row r="432" spans="1:11" ht="41.25" customHeight="1" x14ac:dyDescent="0.2">
      <c r="A432" s="220" t="s">
        <v>1463</v>
      </c>
      <c r="B432" s="222" t="s">
        <v>523</v>
      </c>
      <c r="C432" s="33" t="s">
        <v>524</v>
      </c>
      <c r="D432" s="40" t="s">
        <v>525</v>
      </c>
      <c r="E432" s="33" t="s">
        <v>371</v>
      </c>
      <c r="F432" s="68">
        <v>38</v>
      </c>
      <c r="G432" s="68">
        <v>11</v>
      </c>
      <c r="H432" s="68">
        <v>30</v>
      </c>
      <c r="I432" s="68">
        <v>30</v>
      </c>
      <c r="J432" s="68">
        <v>30</v>
      </c>
      <c r="K432" s="10"/>
    </row>
    <row r="433" spans="1:11" ht="51" x14ac:dyDescent="0.2">
      <c r="A433" s="221"/>
      <c r="B433" s="223"/>
      <c r="C433" s="33" t="s">
        <v>362</v>
      </c>
      <c r="D433" s="149" t="s">
        <v>302</v>
      </c>
      <c r="E433" s="27" t="s">
        <v>303</v>
      </c>
      <c r="F433" s="68">
        <v>25204.400000000001</v>
      </c>
      <c r="G433" s="68">
        <v>25010.2</v>
      </c>
      <c r="H433" s="68">
        <v>26827.1</v>
      </c>
      <c r="I433" s="68">
        <v>26768.400000000001</v>
      </c>
      <c r="J433" s="68">
        <v>24610.300000000003</v>
      </c>
      <c r="K433" s="10"/>
    </row>
    <row r="434" spans="1:11" ht="15.75" x14ac:dyDescent="0.2">
      <c r="A434" s="220" t="s">
        <v>1464</v>
      </c>
      <c r="B434" s="222" t="s">
        <v>526</v>
      </c>
      <c r="C434" s="33" t="s">
        <v>527</v>
      </c>
      <c r="D434" s="40" t="s">
        <v>366</v>
      </c>
      <c r="E434" s="33" t="s">
        <v>367</v>
      </c>
      <c r="F434" s="68">
        <v>93760</v>
      </c>
      <c r="G434" s="68">
        <v>0</v>
      </c>
      <c r="H434" s="68">
        <v>0</v>
      </c>
      <c r="I434" s="68">
        <v>0</v>
      </c>
      <c r="J434" s="68">
        <v>0</v>
      </c>
      <c r="K434" s="10"/>
    </row>
    <row r="435" spans="1:11" ht="51" x14ac:dyDescent="0.2">
      <c r="A435" s="221"/>
      <c r="B435" s="223"/>
      <c r="C435" s="33" t="s">
        <v>362</v>
      </c>
      <c r="D435" s="149" t="s">
        <v>302</v>
      </c>
      <c r="E435" s="27" t="s">
        <v>303</v>
      </c>
      <c r="F435" s="68">
        <v>21050.7</v>
      </c>
      <c r="G435" s="68">
        <v>0</v>
      </c>
      <c r="H435" s="68">
        <v>0</v>
      </c>
      <c r="I435" s="68">
        <v>0</v>
      </c>
      <c r="J435" s="68">
        <v>0</v>
      </c>
      <c r="K435" s="10"/>
    </row>
    <row r="436" spans="1:11" ht="15.75" x14ac:dyDescent="0.2">
      <c r="A436" s="220" t="s">
        <v>1465</v>
      </c>
      <c r="B436" s="222" t="s">
        <v>526</v>
      </c>
      <c r="C436" s="33" t="s">
        <v>528</v>
      </c>
      <c r="D436" s="40" t="s">
        <v>366</v>
      </c>
      <c r="E436" s="33" t="s">
        <v>367</v>
      </c>
      <c r="F436" s="68">
        <v>3626</v>
      </c>
      <c r="G436" s="68">
        <v>0</v>
      </c>
      <c r="H436" s="68">
        <v>0</v>
      </c>
      <c r="I436" s="68">
        <v>0</v>
      </c>
      <c r="J436" s="68">
        <v>0</v>
      </c>
      <c r="K436" s="10"/>
    </row>
    <row r="437" spans="1:11" ht="59.25" customHeight="1" x14ac:dyDescent="0.2">
      <c r="A437" s="221"/>
      <c r="B437" s="223"/>
      <c r="C437" s="33" t="s">
        <v>362</v>
      </c>
      <c r="D437" s="149" t="s">
        <v>302</v>
      </c>
      <c r="E437" s="27" t="s">
        <v>303</v>
      </c>
      <c r="F437" s="68">
        <v>757.1</v>
      </c>
      <c r="G437" s="68">
        <v>0</v>
      </c>
      <c r="H437" s="68">
        <v>0</v>
      </c>
      <c r="I437" s="68">
        <v>0</v>
      </c>
      <c r="J437" s="68">
        <v>0</v>
      </c>
      <c r="K437" s="10"/>
    </row>
    <row r="438" spans="1:11" ht="15.75" x14ac:dyDescent="0.2">
      <c r="A438" s="220" t="s">
        <v>1466</v>
      </c>
      <c r="B438" s="222" t="s">
        <v>526</v>
      </c>
      <c r="C438" s="33" t="s">
        <v>529</v>
      </c>
      <c r="D438" s="149" t="s">
        <v>366</v>
      </c>
      <c r="E438" s="27" t="s">
        <v>367</v>
      </c>
      <c r="F438" s="68">
        <v>0</v>
      </c>
      <c r="G438" s="68">
        <v>22237</v>
      </c>
      <c r="H438" s="68">
        <v>101150</v>
      </c>
      <c r="I438" s="68">
        <v>104190</v>
      </c>
      <c r="J438" s="68">
        <v>107320</v>
      </c>
      <c r="K438" s="10"/>
    </row>
    <row r="439" spans="1:11" ht="57" customHeight="1" x14ac:dyDescent="0.2">
      <c r="A439" s="221"/>
      <c r="B439" s="235"/>
      <c r="C439" s="33" t="s">
        <v>362</v>
      </c>
      <c r="D439" s="149" t="s">
        <v>302</v>
      </c>
      <c r="E439" s="27" t="s">
        <v>303</v>
      </c>
      <c r="F439" s="68">
        <v>0</v>
      </c>
      <c r="G439" s="68">
        <v>22118</v>
      </c>
      <c r="H439" s="68">
        <v>22254.199999999997</v>
      </c>
      <c r="I439" s="68">
        <v>23539.200000000001</v>
      </c>
      <c r="J439" s="68">
        <v>24942.799999999999</v>
      </c>
      <c r="K439" s="10"/>
    </row>
    <row r="440" spans="1:11" ht="15.75" x14ac:dyDescent="0.2">
      <c r="A440" s="220" t="s">
        <v>1467</v>
      </c>
      <c r="B440" s="222" t="s">
        <v>526</v>
      </c>
      <c r="C440" s="33" t="s">
        <v>530</v>
      </c>
      <c r="D440" s="149" t="s">
        <v>366</v>
      </c>
      <c r="E440" s="27" t="s">
        <v>367</v>
      </c>
      <c r="F440" s="68">
        <v>0</v>
      </c>
      <c r="G440" s="68">
        <v>380</v>
      </c>
      <c r="H440" s="68">
        <v>5250</v>
      </c>
      <c r="I440" s="68">
        <v>5410</v>
      </c>
      <c r="J440" s="68">
        <v>5570</v>
      </c>
      <c r="K440" s="10"/>
    </row>
    <row r="441" spans="1:11" ht="63" customHeight="1" x14ac:dyDescent="0.2">
      <c r="A441" s="221"/>
      <c r="B441" s="223"/>
      <c r="C441" s="33" t="s">
        <v>362</v>
      </c>
      <c r="D441" s="149" t="s">
        <v>302</v>
      </c>
      <c r="E441" s="27" t="s">
        <v>303</v>
      </c>
      <c r="F441" s="68">
        <v>0</v>
      </c>
      <c r="G441" s="68">
        <v>795.5</v>
      </c>
      <c r="H441" s="68">
        <v>800.4</v>
      </c>
      <c r="I441" s="68">
        <v>846.7</v>
      </c>
      <c r="J441" s="68">
        <v>897.2</v>
      </c>
      <c r="K441" s="10"/>
    </row>
    <row r="442" spans="1:11" ht="57" customHeight="1" x14ac:dyDescent="0.2">
      <c r="A442" s="220" t="s">
        <v>1468</v>
      </c>
      <c r="B442" s="222" t="s">
        <v>531</v>
      </c>
      <c r="C442" s="33" t="s">
        <v>532</v>
      </c>
      <c r="D442" s="40" t="s">
        <v>533</v>
      </c>
      <c r="E442" s="33" t="s">
        <v>23</v>
      </c>
      <c r="F442" s="68">
        <v>7</v>
      </c>
      <c r="G442" s="68">
        <v>1</v>
      </c>
      <c r="H442" s="68">
        <v>7</v>
      </c>
      <c r="I442" s="68">
        <v>7</v>
      </c>
      <c r="J442" s="68">
        <v>7</v>
      </c>
      <c r="K442" s="10"/>
    </row>
    <row r="443" spans="1:11" ht="59.25" customHeight="1" x14ac:dyDescent="0.2">
      <c r="A443" s="221"/>
      <c r="B443" s="223"/>
      <c r="C443" s="33" t="s">
        <v>362</v>
      </c>
      <c r="D443" s="149" t="s">
        <v>302</v>
      </c>
      <c r="E443" s="27" t="s">
        <v>303</v>
      </c>
      <c r="F443" s="68">
        <v>13491.3</v>
      </c>
      <c r="G443" s="68">
        <v>14176.6</v>
      </c>
      <c r="H443" s="68">
        <v>14264.5</v>
      </c>
      <c r="I443" s="68">
        <v>15089</v>
      </c>
      <c r="J443" s="68">
        <v>15989.8</v>
      </c>
      <c r="K443" s="10"/>
    </row>
    <row r="444" spans="1:11" ht="15.75" x14ac:dyDescent="0.2">
      <c r="A444" s="220" t="s">
        <v>1469</v>
      </c>
      <c r="B444" s="222" t="s">
        <v>534</v>
      </c>
      <c r="C444" s="33" t="s">
        <v>535</v>
      </c>
      <c r="D444" s="40" t="s">
        <v>536</v>
      </c>
      <c r="E444" s="33" t="s">
        <v>367</v>
      </c>
      <c r="F444" s="68">
        <v>185</v>
      </c>
      <c r="G444" s="68">
        <v>149</v>
      </c>
      <c r="H444" s="68">
        <v>153</v>
      </c>
      <c r="I444" s="68">
        <v>157</v>
      </c>
      <c r="J444" s="68">
        <v>161</v>
      </c>
      <c r="K444" s="10"/>
    </row>
    <row r="445" spans="1:11" ht="64.5" customHeight="1" x14ac:dyDescent="0.2">
      <c r="A445" s="221"/>
      <c r="B445" s="223"/>
      <c r="C445" s="33" t="s">
        <v>361</v>
      </c>
      <c r="D445" s="149" t="s">
        <v>302</v>
      </c>
      <c r="E445" s="27" t="s">
        <v>303</v>
      </c>
      <c r="F445" s="68">
        <v>5392.6</v>
      </c>
      <c r="G445" s="68">
        <v>5573.8</v>
      </c>
      <c r="H445" s="68">
        <v>5889.9</v>
      </c>
      <c r="I445" s="68">
        <v>5842.1</v>
      </c>
      <c r="J445" s="68">
        <v>6159.7</v>
      </c>
      <c r="K445" s="10"/>
    </row>
    <row r="446" spans="1:11" ht="25.5" x14ac:dyDescent="0.2">
      <c r="A446" s="220" t="s">
        <v>1470</v>
      </c>
      <c r="B446" s="222" t="s">
        <v>537</v>
      </c>
      <c r="C446" s="33" t="s">
        <v>538</v>
      </c>
      <c r="D446" s="40" t="s">
        <v>539</v>
      </c>
      <c r="E446" s="33" t="s">
        <v>23</v>
      </c>
      <c r="F446" s="68">
        <v>24</v>
      </c>
      <c r="G446" s="68">
        <v>0</v>
      </c>
      <c r="H446" s="68">
        <v>0</v>
      </c>
      <c r="I446" s="68">
        <v>0</v>
      </c>
      <c r="J446" s="68">
        <v>0</v>
      </c>
      <c r="K446" s="10"/>
    </row>
    <row r="447" spans="1:11" ht="59.25" customHeight="1" x14ac:dyDescent="0.2">
      <c r="A447" s="221"/>
      <c r="B447" s="223"/>
      <c r="C447" s="33" t="s">
        <v>368</v>
      </c>
      <c r="D447" s="149" t="s">
        <v>302</v>
      </c>
      <c r="E447" s="27" t="s">
        <v>303</v>
      </c>
      <c r="F447" s="68">
        <v>1641.7</v>
      </c>
      <c r="G447" s="68">
        <v>0</v>
      </c>
      <c r="H447" s="68">
        <v>0</v>
      </c>
      <c r="I447" s="68">
        <v>0</v>
      </c>
      <c r="J447" s="68">
        <v>0</v>
      </c>
      <c r="K447" s="10"/>
    </row>
    <row r="448" spans="1:11" ht="25.5" x14ac:dyDescent="0.2">
      <c r="A448" s="220" t="s">
        <v>1471</v>
      </c>
      <c r="B448" s="222" t="s">
        <v>540</v>
      </c>
      <c r="C448" s="33" t="s">
        <v>541</v>
      </c>
      <c r="D448" s="40" t="s">
        <v>542</v>
      </c>
      <c r="E448" s="33" t="s">
        <v>23</v>
      </c>
      <c r="F448" s="68">
        <v>1242</v>
      </c>
      <c r="G448" s="68">
        <v>1240</v>
      </c>
      <c r="H448" s="68">
        <v>1238</v>
      </c>
      <c r="I448" s="68">
        <v>1236</v>
      </c>
      <c r="J448" s="68">
        <v>1234</v>
      </c>
      <c r="K448" s="10"/>
    </row>
    <row r="449" spans="1:11" ht="51" x14ac:dyDescent="0.2">
      <c r="A449" s="221"/>
      <c r="B449" s="223"/>
      <c r="C449" s="33" t="s">
        <v>368</v>
      </c>
      <c r="D449" s="149" t="s">
        <v>302</v>
      </c>
      <c r="E449" s="27" t="s">
        <v>303</v>
      </c>
      <c r="F449" s="68">
        <v>252.8</v>
      </c>
      <c r="G449" s="68">
        <v>301.60000000000002</v>
      </c>
      <c r="H449" s="68">
        <v>314.89999999999998</v>
      </c>
      <c r="I449" s="68">
        <v>330.5</v>
      </c>
      <c r="J449" s="68">
        <v>342.4</v>
      </c>
      <c r="K449" s="10"/>
    </row>
    <row r="450" spans="1:11" ht="15.75" x14ac:dyDescent="0.2">
      <c r="A450" s="220" t="s">
        <v>1472</v>
      </c>
      <c r="B450" s="222" t="s">
        <v>543</v>
      </c>
      <c r="C450" s="33" t="s">
        <v>544</v>
      </c>
      <c r="D450" s="40" t="s">
        <v>316</v>
      </c>
      <c r="E450" s="33" t="s">
        <v>23</v>
      </c>
      <c r="F450" s="68">
        <v>25</v>
      </c>
      <c r="G450" s="68">
        <v>26</v>
      </c>
      <c r="H450" s="68">
        <v>27</v>
      </c>
      <c r="I450" s="68">
        <v>28</v>
      </c>
      <c r="J450" s="68">
        <v>29</v>
      </c>
      <c r="K450" s="10"/>
    </row>
    <row r="451" spans="1:11" ht="64.5" customHeight="1" x14ac:dyDescent="0.2">
      <c r="A451" s="221"/>
      <c r="B451" s="223"/>
      <c r="C451" s="33" t="s">
        <v>368</v>
      </c>
      <c r="D451" s="149" t="s">
        <v>302</v>
      </c>
      <c r="E451" s="27" t="s">
        <v>303</v>
      </c>
      <c r="F451" s="68">
        <v>4767.8</v>
      </c>
      <c r="G451" s="68">
        <v>4958.5</v>
      </c>
      <c r="H451" s="68">
        <v>5187.1000000000004</v>
      </c>
      <c r="I451" s="68">
        <v>5454.2</v>
      </c>
      <c r="J451" s="68">
        <v>4665.8</v>
      </c>
      <c r="K451" s="10"/>
    </row>
    <row r="452" spans="1:11" ht="15.75" x14ac:dyDescent="0.2">
      <c r="A452" s="220" t="s">
        <v>1473</v>
      </c>
      <c r="B452" s="222" t="s">
        <v>545</v>
      </c>
      <c r="C452" s="33" t="s">
        <v>546</v>
      </c>
      <c r="D452" s="40" t="s">
        <v>316</v>
      </c>
      <c r="E452" s="33" t="s">
        <v>23</v>
      </c>
      <c r="F452" s="68">
        <v>19</v>
      </c>
      <c r="G452" s="68">
        <v>20</v>
      </c>
      <c r="H452" s="68">
        <v>22</v>
      </c>
      <c r="I452" s="68">
        <v>23</v>
      </c>
      <c r="J452" s="68">
        <v>24</v>
      </c>
      <c r="K452" s="10"/>
    </row>
    <row r="453" spans="1:11" ht="61.5" customHeight="1" x14ac:dyDescent="0.2">
      <c r="A453" s="221"/>
      <c r="B453" s="223"/>
      <c r="C453" s="33" t="s">
        <v>368</v>
      </c>
      <c r="D453" s="149" t="s">
        <v>302</v>
      </c>
      <c r="E453" s="27" t="s">
        <v>303</v>
      </c>
      <c r="F453" s="68">
        <v>3673</v>
      </c>
      <c r="G453" s="68">
        <v>3866.3</v>
      </c>
      <c r="H453" s="68">
        <v>4044.5</v>
      </c>
      <c r="I453" s="68">
        <v>4252.8</v>
      </c>
      <c r="J453" s="68">
        <v>3417.8</v>
      </c>
      <c r="K453" s="10"/>
    </row>
    <row r="454" spans="1:11" ht="15.75" x14ac:dyDescent="0.2">
      <c r="A454" s="220" t="s">
        <v>1474</v>
      </c>
      <c r="B454" s="222" t="s">
        <v>547</v>
      </c>
      <c r="C454" s="33" t="s">
        <v>548</v>
      </c>
      <c r="D454" s="40" t="s">
        <v>316</v>
      </c>
      <c r="E454" s="33" t="s">
        <v>23</v>
      </c>
      <c r="F454" s="68">
        <v>5</v>
      </c>
      <c r="G454" s="68">
        <v>6</v>
      </c>
      <c r="H454" s="68">
        <v>6</v>
      </c>
      <c r="I454" s="68">
        <v>6</v>
      </c>
      <c r="J454" s="68">
        <v>6</v>
      </c>
      <c r="K454" s="10"/>
    </row>
    <row r="455" spans="1:11" ht="60.75" customHeight="1" x14ac:dyDescent="0.2">
      <c r="A455" s="221"/>
      <c r="B455" s="223"/>
      <c r="C455" s="33" t="s">
        <v>368</v>
      </c>
      <c r="D455" s="149" t="s">
        <v>302</v>
      </c>
      <c r="E455" s="27" t="s">
        <v>303</v>
      </c>
      <c r="F455" s="68">
        <v>6036.9</v>
      </c>
      <c r="G455" s="68">
        <v>7244.3</v>
      </c>
      <c r="H455" s="68">
        <v>7578.3</v>
      </c>
      <c r="I455" s="68">
        <v>7968.5</v>
      </c>
      <c r="J455" s="68">
        <v>7277.7</v>
      </c>
      <c r="K455" s="10"/>
    </row>
    <row r="456" spans="1:11" ht="15.75" x14ac:dyDescent="0.2">
      <c r="A456" s="220" t="s">
        <v>1475</v>
      </c>
      <c r="B456" s="222" t="s">
        <v>549</v>
      </c>
      <c r="C456" s="33" t="s">
        <v>550</v>
      </c>
      <c r="D456" s="40" t="s">
        <v>316</v>
      </c>
      <c r="E456" s="33" t="s">
        <v>23</v>
      </c>
      <c r="F456" s="68">
        <v>110</v>
      </c>
      <c r="G456" s="68">
        <v>112</v>
      </c>
      <c r="H456" s="68">
        <v>114</v>
      </c>
      <c r="I456" s="68">
        <v>116</v>
      </c>
      <c r="J456" s="68">
        <v>118</v>
      </c>
      <c r="K456" s="10"/>
    </row>
    <row r="457" spans="1:11" ht="51" x14ac:dyDescent="0.2">
      <c r="A457" s="221"/>
      <c r="B457" s="223"/>
      <c r="C457" s="33" t="s">
        <v>368</v>
      </c>
      <c r="D457" s="149" t="s">
        <v>302</v>
      </c>
      <c r="E457" s="27" t="s">
        <v>303</v>
      </c>
      <c r="F457" s="68">
        <v>7072.3</v>
      </c>
      <c r="G457" s="68">
        <v>7200.9</v>
      </c>
      <c r="H457" s="68">
        <v>7532.9</v>
      </c>
      <c r="I457" s="68">
        <v>7920.8</v>
      </c>
      <c r="J457" s="68">
        <v>7228.1</v>
      </c>
      <c r="K457" s="10"/>
    </row>
    <row r="458" spans="1:11" ht="15.75" x14ac:dyDescent="0.2">
      <c r="A458" s="220" t="s">
        <v>1476</v>
      </c>
      <c r="B458" s="222" t="s">
        <v>551</v>
      </c>
      <c r="C458" s="33" t="s">
        <v>552</v>
      </c>
      <c r="D458" s="40" t="s">
        <v>369</v>
      </c>
      <c r="E458" s="33" t="s">
        <v>367</v>
      </c>
      <c r="F458" s="68">
        <v>0</v>
      </c>
      <c r="G458" s="68">
        <v>135</v>
      </c>
      <c r="H458" s="68">
        <v>200</v>
      </c>
      <c r="I458" s="68">
        <v>210</v>
      </c>
      <c r="J458" s="68">
        <v>220</v>
      </c>
      <c r="K458" s="10"/>
    </row>
    <row r="459" spans="1:11" ht="60.75" customHeight="1" x14ac:dyDescent="0.2">
      <c r="A459" s="221"/>
      <c r="B459" s="235"/>
      <c r="C459" s="33" t="s">
        <v>368</v>
      </c>
      <c r="D459" s="149" t="s">
        <v>302</v>
      </c>
      <c r="E459" s="27" t="s">
        <v>303</v>
      </c>
      <c r="F459" s="68">
        <v>0</v>
      </c>
      <c r="G459" s="68">
        <v>82.8</v>
      </c>
      <c r="H459" s="68">
        <v>86.6</v>
      </c>
      <c r="I459" s="68">
        <v>91.1</v>
      </c>
      <c r="J459" s="68">
        <v>94.6</v>
      </c>
      <c r="K459" s="10"/>
    </row>
    <row r="460" spans="1:11" ht="15.75" x14ac:dyDescent="0.2">
      <c r="A460" s="220" t="s">
        <v>1477</v>
      </c>
      <c r="B460" s="235" t="s">
        <v>551</v>
      </c>
      <c r="C460" s="33" t="s">
        <v>553</v>
      </c>
      <c r="D460" s="149" t="s">
        <v>369</v>
      </c>
      <c r="E460" s="27" t="s">
        <v>367</v>
      </c>
      <c r="F460" s="68">
        <v>0</v>
      </c>
      <c r="G460" s="68">
        <v>1000</v>
      </c>
      <c r="H460" s="68">
        <v>4200</v>
      </c>
      <c r="I460" s="68">
        <v>4400</v>
      </c>
      <c r="J460" s="68">
        <v>4500</v>
      </c>
      <c r="K460" s="10"/>
    </row>
    <row r="461" spans="1:11" ht="58.5" customHeight="1" x14ac:dyDescent="0.2">
      <c r="A461" s="221"/>
      <c r="B461" s="235"/>
      <c r="C461" s="33" t="s">
        <v>368</v>
      </c>
      <c r="D461" s="149" t="s">
        <v>302</v>
      </c>
      <c r="E461" s="27" t="s">
        <v>303</v>
      </c>
      <c r="F461" s="68">
        <v>0</v>
      </c>
      <c r="G461" s="68">
        <v>460</v>
      </c>
      <c r="H461" s="68">
        <v>1924.8</v>
      </c>
      <c r="I461" s="68">
        <v>2024</v>
      </c>
      <c r="J461" s="68">
        <v>1292.8</v>
      </c>
      <c r="K461" s="10"/>
    </row>
    <row r="462" spans="1:11" ht="15.75" x14ac:dyDescent="0.2">
      <c r="A462" s="220" t="s">
        <v>1478</v>
      </c>
      <c r="B462" s="235" t="s">
        <v>551</v>
      </c>
      <c r="C462" s="33" t="s">
        <v>554</v>
      </c>
      <c r="D462" s="149" t="s">
        <v>369</v>
      </c>
      <c r="E462" s="27" t="s">
        <v>367</v>
      </c>
      <c r="F462" s="68">
        <v>0</v>
      </c>
      <c r="G462" s="68">
        <v>4000</v>
      </c>
      <c r="H462" s="68">
        <v>1100</v>
      </c>
      <c r="I462" s="68">
        <v>1200</v>
      </c>
      <c r="J462" s="68">
        <v>1300</v>
      </c>
      <c r="K462" s="10"/>
    </row>
    <row r="463" spans="1:11" ht="63" customHeight="1" x14ac:dyDescent="0.2">
      <c r="A463" s="221"/>
      <c r="B463" s="223"/>
      <c r="C463" s="33" t="s">
        <v>368</v>
      </c>
      <c r="D463" s="149" t="s">
        <v>302</v>
      </c>
      <c r="E463" s="27" t="s">
        <v>303</v>
      </c>
      <c r="F463" s="68">
        <v>0</v>
      </c>
      <c r="G463" s="68">
        <v>1840</v>
      </c>
      <c r="H463" s="68">
        <v>481.2</v>
      </c>
      <c r="I463" s="68">
        <v>506</v>
      </c>
      <c r="J463" s="68">
        <v>525.6</v>
      </c>
      <c r="K463" s="10"/>
    </row>
    <row r="464" spans="1:11" ht="15.75" x14ac:dyDescent="0.2">
      <c r="A464" s="220" t="s">
        <v>1479</v>
      </c>
      <c r="B464" s="222" t="s">
        <v>551</v>
      </c>
      <c r="C464" s="33" t="s">
        <v>555</v>
      </c>
      <c r="D464" s="40" t="s">
        <v>369</v>
      </c>
      <c r="E464" s="33" t="s">
        <v>367</v>
      </c>
      <c r="F464" s="68">
        <v>8959</v>
      </c>
      <c r="G464" s="68">
        <v>5999</v>
      </c>
      <c r="H464" s="68">
        <v>9888</v>
      </c>
      <c r="I464" s="68">
        <v>10185</v>
      </c>
      <c r="J464" s="68">
        <v>10491</v>
      </c>
      <c r="K464" s="10"/>
    </row>
    <row r="465" spans="1:11" ht="51" x14ac:dyDescent="0.2">
      <c r="A465" s="221"/>
      <c r="B465" s="223"/>
      <c r="C465" s="33" t="s">
        <v>362</v>
      </c>
      <c r="D465" s="149" t="s">
        <v>302</v>
      </c>
      <c r="E465" s="27" t="s">
        <v>303</v>
      </c>
      <c r="F465" s="68">
        <v>340.5</v>
      </c>
      <c r="G465" s="68">
        <v>3072.6</v>
      </c>
      <c r="H465" s="68">
        <v>3248.7</v>
      </c>
      <c r="I465" s="68">
        <v>3429.2000000000003</v>
      </c>
      <c r="J465" s="68">
        <v>3608.7</v>
      </c>
      <c r="K465" s="10"/>
    </row>
    <row r="466" spans="1:11" ht="15.75" x14ac:dyDescent="0.2">
      <c r="A466" s="220" t="s">
        <v>1480</v>
      </c>
      <c r="B466" s="222" t="s">
        <v>551</v>
      </c>
      <c r="C466" s="33" t="s">
        <v>553</v>
      </c>
      <c r="D466" s="40" t="s">
        <v>369</v>
      </c>
      <c r="E466" s="33" t="s">
        <v>367</v>
      </c>
      <c r="F466" s="68">
        <v>66379</v>
      </c>
      <c r="G466" s="68">
        <v>0</v>
      </c>
      <c r="H466" s="68">
        <v>0</v>
      </c>
      <c r="I466" s="68">
        <v>0</v>
      </c>
      <c r="J466" s="68">
        <v>0</v>
      </c>
      <c r="K466" s="10"/>
    </row>
    <row r="467" spans="1:11" ht="59.25" customHeight="1" x14ac:dyDescent="0.2">
      <c r="A467" s="221"/>
      <c r="B467" s="223"/>
      <c r="C467" s="33" t="s">
        <v>362</v>
      </c>
      <c r="D467" s="149" t="s">
        <v>302</v>
      </c>
      <c r="E467" s="27" t="s">
        <v>303</v>
      </c>
      <c r="F467" s="68">
        <v>2732.1</v>
      </c>
      <c r="G467" s="68">
        <v>0</v>
      </c>
      <c r="H467" s="68">
        <v>0</v>
      </c>
      <c r="I467" s="68">
        <v>0</v>
      </c>
      <c r="J467" s="68">
        <v>0</v>
      </c>
      <c r="K467" s="10"/>
    </row>
    <row r="468" spans="1:11" ht="15.75" x14ac:dyDescent="0.2">
      <c r="A468" s="220" t="s">
        <v>1481</v>
      </c>
      <c r="B468" s="234" t="s">
        <v>556</v>
      </c>
      <c r="C468" s="33" t="s">
        <v>557</v>
      </c>
      <c r="D468" s="40" t="s">
        <v>558</v>
      </c>
      <c r="E468" s="33" t="s">
        <v>23</v>
      </c>
      <c r="F468" s="68">
        <v>1</v>
      </c>
      <c r="G468" s="68">
        <v>1</v>
      </c>
      <c r="H468" s="68">
        <v>1</v>
      </c>
      <c r="I468" s="68">
        <v>1</v>
      </c>
      <c r="J468" s="68">
        <v>1</v>
      </c>
      <c r="K468" s="10"/>
    </row>
    <row r="469" spans="1:11" ht="65.25" customHeight="1" x14ac:dyDescent="0.2">
      <c r="A469" s="221"/>
      <c r="B469" s="234"/>
      <c r="C469" s="33" t="s">
        <v>370</v>
      </c>
      <c r="D469" s="149" t="s">
        <v>302</v>
      </c>
      <c r="E469" s="27" t="s">
        <v>303</v>
      </c>
      <c r="F469" s="68">
        <v>34691.4</v>
      </c>
      <c r="G469" s="68">
        <v>43053.7</v>
      </c>
      <c r="H469" s="68">
        <v>43542.3</v>
      </c>
      <c r="I469" s="68">
        <v>44398.400000000001</v>
      </c>
      <c r="J469" s="68">
        <v>32840.6</v>
      </c>
      <c r="K469" s="10"/>
    </row>
    <row r="470" spans="1:11" ht="15.75" x14ac:dyDescent="0.2">
      <c r="A470" s="220" t="s">
        <v>1482</v>
      </c>
      <c r="B470" s="222" t="s">
        <v>559</v>
      </c>
      <c r="C470" s="33" t="s">
        <v>550</v>
      </c>
      <c r="D470" s="40" t="s">
        <v>316</v>
      </c>
      <c r="E470" s="33" t="s">
        <v>371</v>
      </c>
      <c r="F470" s="68">
        <v>2367</v>
      </c>
      <c r="G470" s="68">
        <v>2238</v>
      </c>
      <c r="H470" s="68">
        <v>2287</v>
      </c>
      <c r="I470" s="68">
        <v>2369</v>
      </c>
      <c r="J470" s="68">
        <v>2432</v>
      </c>
      <c r="K470" s="10"/>
    </row>
    <row r="471" spans="1:11" ht="59.25" customHeight="1" x14ac:dyDescent="0.2">
      <c r="A471" s="221"/>
      <c r="B471" s="223"/>
      <c r="C471" s="33" t="s">
        <v>361</v>
      </c>
      <c r="D471" s="149" t="s">
        <v>302</v>
      </c>
      <c r="E471" s="27" t="s">
        <v>303</v>
      </c>
      <c r="F471" s="68">
        <v>27709.399999999998</v>
      </c>
      <c r="G471" s="68">
        <v>27849.1</v>
      </c>
      <c r="H471" s="68">
        <v>30915.5</v>
      </c>
      <c r="I471" s="68">
        <v>32256.799999999999</v>
      </c>
      <c r="J471" s="68">
        <v>34035.699999999997</v>
      </c>
      <c r="K471" s="10"/>
    </row>
    <row r="472" spans="1:11" ht="15.75" x14ac:dyDescent="0.2">
      <c r="A472" s="220" t="s">
        <v>1483</v>
      </c>
      <c r="B472" s="222" t="s">
        <v>559</v>
      </c>
      <c r="C472" s="33" t="s">
        <v>550</v>
      </c>
      <c r="D472" s="40" t="s">
        <v>316</v>
      </c>
      <c r="E472" s="33" t="s">
        <v>371</v>
      </c>
      <c r="F472" s="68">
        <v>107</v>
      </c>
      <c r="G472" s="68">
        <v>84</v>
      </c>
      <c r="H472" s="68">
        <v>113</v>
      </c>
      <c r="I472" s="68">
        <v>123</v>
      </c>
      <c r="J472" s="68">
        <v>130</v>
      </c>
      <c r="K472" s="10"/>
    </row>
    <row r="473" spans="1:11" ht="61.5" customHeight="1" x14ac:dyDescent="0.2">
      <c r="A473" s="221"/>
      <c r="B473" s="223"/>
      <c r="C473" s="33" t="s">
        <v>362</v>
      </c>
      <c r="D473" s="149" t="s">
        <v>302</v>
      </c>
      <c r="E473" s="27" t="s">
        <v>303</v>
      </c>
      <c r="F473" s="68">
        <v>3220.2</v>
      </c>
      <c r="G473" s="68">
        <v>5659.8</v>
      </c>
      <c r="H473" s="68">
        <v>6009.2</v>
      </c>
      <c r="I473" s="68">
        <v>6278</v>
      </c>
      <c r="J473" s="68">
        <v>6382.5</v>
      </c>
      <c r="K473" s="10"/>
    </row>
    <row r="474" spans="1:11" ht="15.75" x14ac:dyDescent="0.2">
      <c r="A474" s="220" t="s">
        <v>1484</v>
      </c>
      <c r="B474" s="222" t="s">
        <v>560</v>
      </c>
      <c r="C474" s="33" t="s">
        <v>548</v>
      </c>
      <c r="D474" s="40" t="s">
        <v>316</v>
      </c>
      <c r="E474" s="33" t="s">
        <v>371</v>
      </c>
      <c r="F474" s="68">
        <v>1547</v>
      </c>
      <c r="G474" s="68">
        <v>1217</v>
      </c>
      <c r="H474" s="68">
        <v>1745</v>
      </c>
      <c r="I474" s="68">
        <v>1809</v>
      </c>
      <c r="J474" s="68">
        <v>1887</v>
      </c>
      <c r="K474" s="10"/>
    </row>
    <row r="475" spans="1:11" ht="59.25" customHeight="1" x14ac:dyDescent="0.2">
      <c r="A475" s="221"/>
      <c r="B475" s="223"/>
      <c r="C475" s="33" t="s">
        <v>361</v>
      </c>
      <c r="D475" s="149" t="s">
        <v>302</v>
      </c>
      <c r="E475" s="27" t="s">
        <v>303</v>
      </c>
      <c r="F475" s="68">
        <v>24335.300000000003</v>
      </c>
      <c r="G475" s="68">
        <v>23911.300000000003</v>
      </c>
      <c r="H475" s="68">
        <v>26250.2</v>
      </c>
      <c r="I475" s="68">
        <v>26925.4</v>
      </c>
      <c r="J475" s="68">
        <v>28409.199999999997</v>
      </c>
      <c r="K475" s="10"/>
    </row>
    <row r="476" spans="1:11" ht="15.75" x14ac:dyDescent="0.2">
      <c r="A476" s="220" t="s">
        <v>1485</v>
      </c>
      <c r="B476" s="222" t="s">
        <v>560</v>
      </c>
      <c r="C476" s="33" t="s">
        <v>548</v>
      </c>
      <c r="D476" s="40" t="s">
        <v>316</v>
      </c>
      <c r="E476" s="33" t="s">
        <v>371</v>
      </c>
      <c r="F476" s="68">
        <v>185</v>
      </c>
      <c r="G476" s="68">
        <v>160</v>
      </c>
      <c r="H476" s="68">
        <v>311</v>
      </c>
      <c r="I476" s="68">
        <v>321</v>
      </c>
      <c r="J476" s="68">
        <v>336</v>
      </c>
      <c r="K476" s="10"/>
    </row>
    <row r="477" spans="1:11" ht="62.25" customHeight="1" x14ac:dyDescent="0.2">
      <c r="A477" s="221"/>
      <c r="B477" s="223"/>
      <c r="C477" s="33" t="s">
        <v>362</v>
      </c>
      <c r="D477" s="149" t="s">
        <v>302</v>
      </c>
      <c r="E477" s="27" t="s">
        <v>303</v>
      </c>
      <c r="F477" s="68">
        <v>3617.7999999999993</v>
      </c>
      <c r="G477" s="68">
        <v>6504.2000000000007</v>
      </c>
      <c r="H477" s="68">
        <v>6856</v>
      </c>
      <c r="I477" s="68">
        <v>7104</v>
      </c>
      <c r="J477" s="68">
        <v>7018.2</v>
      </c>
      <c r="K477" s="10"/>
    </row>
    <row r="478" spans="1:11" ht="15.75" x14ac:dyDescent="0.2">
      <c r="A478" s="220" t="s">
        <v>1486</v>
      </c>
      <c r="B478" s="222" t="s">
        <v>561</v>
      </c>
      <c r="C478" s="33" t="s">
        <v>546</v>
      </c>
      <c r="D478" s="40" t="s">
        <v>316</v>
      </c>
      <c r="E478" s="33" t="s">
        <v>371</v>
      </c>
      <c r="F478" s="68">
        <v>253</v>
      </c>
      <c r="G478" s="68">
        <v>61</v>
      </c>
      <c r="H478" s="68">
        <v>70</v>
      </c>
      <c r="I478" s="68">
        <v>73</v>
      </c>
      <c r="J478" s="68">
        <v>73</v>
      </c>
      <c r="K478" s="10"/>
    </row>
    <row r="479" spans="1:11" ht="58.5" customHeight="1" x14ac:dyDescent="0.2">
      <c r="A479" s="221"/>
      <c r="B479" s="223"/>
      <c r="C479" s="33" t="s">
        <v>361</v>
      </c>
      <c r="D479" s="149" t="s">
        <v>302</v>
      </c>
      <c r="E479" s="27" t="s">
        <v>303</v>
      </c>
      <c r="F479" s="68">
        <v>11581.2</v>
      </c>
      <c r="G479" s="68">
        <v>13291.599999999999</v>
      </c>
      <c r="H479" s="68">
        <v>14068.2</v>
      </c>
      <c r="I479" s="68">
        <v>14092.2</v>
      </c>
      <c r="J479" s="68">
        <v>14892.5</v>
      </c>
      <c r="K479" s="10"/>
    </row>
    <row r="480" spans="1:11" ht="15.75" x14ac:dyDescent="0.2">
      <c r="A480" s="220" t="s">
        <v>1487</v>
      </c>
      <c r="B480" s="222" t="s">
        <v>562</v>
      </c>
      <c r="C480" s="33" t="s">
        <v>546</v>
      </c>
      <c r="D480" s="40" t="s">
        <v>316</v>
      </c>
      <c r="E480" s="33" t="s">
        <v>371</v>
      </c>
      <c r="F480" s="68">
        <v>0</v>
      </c>
      <c r="G480" s="68">
        <v>1</v>
      </c>
      <c r="H480" s="68">
        <v>2</v>
      </c>
      <c r="I480" s="68">
        <v>2</v>
      </c>
      <c r="J480" s="68">
        <v>2</v>
      </c>
      <c r="K480" s="10"/>
    </row>
    <row r="481" spans="1:11" ht="51" x14ac:dyDescent="0.2">
      <c r="A481" s="221"/>
      <c r="B481" s="223"/>
      <c r="C481" s="33" t="s">
        <v>362</v>
      </c>
      <c r="D481" s="149" t="s">
        <v>302</v>
      </c>
      <c r="E481" s="27" t="s">
        <v>303</v>
      </c>
      <c r="F481" s="68">
        <v>0</v>
      </c>
      <c r="G481" s="68">
        <v>15.2</v>
      </c>
      <c r="H481" s="68">
        <v>16.2</v>
      </c>
      <c r="I481" s="68">
        <v>17.2</v>
      </c>
      <c r="J481" s="68">
        <v>18.399999999999999</v>
      </c>
      <c r="K481" s="10"/>
    </row>
    <row r="482" spans="1:11" ht="15.75" x14ac:dyDescent="0.2">
      <c r="A482" s="220" t="s">
        <v>1488</v>
      </c>
      <c r="B482" s="222" t="s">
        <v>543</v>
      </c>
      <c r="C482" s="33" t="s">
        <v>544</v>
      </c>
      <c r="D482" s="40" t="s">
        <v>316</v>
      </c>
      <c r="E482" s="33" t="s">
        <v>23</v>
      </c>
      <c r="F482" s="68">
        <v>7</v>
      </c>
      <c r="G482" s="68">
        <v>8</v>
      </c>
      <c r="H482" s="68">
        <v>9</v>
      </c>
      <c r="I482" s="68">
        <v>10</v>
      </c>
      <c r="J482" s="68">
        <v>11</v>
      </c>
      <c r="K482" s="10"/>
    </row>
    <row r="483" spans="1:11" ht="58.5" customHeight="1" x14ac:dyDescent="0.2">
      <c r="A483" s="221"/>
      <c r="B483" s="223"/>
      <c r="C483" s="33" t="s">
        <v>361</v>
      </c>
      <c r="D483" s="149" t="s">
        <v>302</v>
      </c>
      <c r="E483" s="27" t="s">
        <v>303</v>
      </c>
      <c r="F483" s="68">
        <v>2397.3000000000002</v>
      </c>
      <c r="G483" s="68">
        <v>2477.6</v>
      </c>
      <c r="H483" s="68">
        <v>2618.8000000000002</v>
      </c>
      <c r="I483" s="68">
        <v>2597.1</v>
      </c>
      <c r="J483" s="68">
        <v>2737.6</v>
      </c>
      <c r="K483" s="10"/>
    </row>
    <row r="484" spans="1:11" ht="25.5" x14ac:dyDescent="0.2">
      <c r="A484" s="220" t="s">
        <v>1489</v>
      </c>
      <c r="B484" s="222" t="s">
        <v>563</v>
      </c>
      <c r="C484" s="33" t="s">
        <v>564</v>
      </c>
      <c r="D484" s="40" t="s">
        <v>565</v>
      </c>
      <c r="E484" s="33" t="s">
        <v>371</v>
      </c>
      <c r="F484" s="68">
        <v>17</v>
      </c>
      <c r="G484" s="68">
        <v>4</v>
      </c>
      <c r="H484" s="68">
        <v>8</v>
      </c>
      <c r="I484" s="68">
        <v>8</v>
      </c>
      <c r="J484" s="68">
        <v>8</v>
      </c>
      <c r="K484" s="10"/>
    </row>
    <row r="485" spans="1:11" ht="64.5" customHeight="1" x14ac:dyDescent="0.2">
      <c r="A485" s="221"/>
      <c r="B485" s="223"/>
      <c r="C485" s="33" t="s">
        <v>362</v>
      </c>
      <c r="D485" s="149" t="s">
        <v>302</v>
      </c>
      <c r="E485" s="27" t="s">
        <v>303</v>
      </c>
      <c r="F485" s="68">
        <v>1809.8000000000002</v>
      </c>
      <c r="G485" s="68">
        <v>1981.6</v>
      </c>
      <c r="H485" s="68">
        <v>2095.1</v>
      </c>
      <c r="I485" s="68">
        <v>2211.6</v>
      </c>
      <c r="J485" s="68">
        <v>2327.6999999999998</v>
      </c>
      <c r="K485" s="10"/>
    </row>
    <row r="486" spans="1:11" ht="25.5" x14ac:dyDescent="0.2">
      <c r="A486" s="220" t="s">
        <v>1490</v>
      </c>
      <c r="B486" s="222" t="s">
        <v>563</v>
      </c>
      <c r="C486" s="33" t="s">
        <v>564</v>
      </c>
      <c r="D486" s="40" t="s">
        <v>372</v>
      </c>
      <c r="E486" s="33" t="s">
        <v>367</v>
      </c>
      <c r="F486" s="68">
        <v>0</v>
      </c>
      <c r="G486" s="68">
        <v>4438</v>
      </c>
      <c r="H486" s="68">
        <v>10724</v>
      </c>
      <c r="I486" s="68">
        <v>10795</v>
      </c>
      <c r="J486" s="68">
        <v>10867</v>
      </c>
      <c r="K486" s="10"/>
    </row>
    <row r="487" spans="1:11" ht="60.75" customHeight="1" x14ac:dyDescent="0.2">
      <c r="A487" s="221"/>
      <c r="B487" s="223"/>
      <c r="C487" s="33" t="s">
        <v>362</v>
      </c>
      <c r="D487" s="149" t="s">
        <v>302</v>
      </c>
      <c r="E487" s="27" t="s">
        <v>303</v>
      </c>
      <c r="F487" s="68">
        <v>0</v>
      </c>
      <c r="G487" s="68">
        <v>5100</v>
      </c>
      <c r="H487" s="68">
        <v>5340.6</v>
      </c>
      <c r="I487" s="68">
        <v>5213.6000000000004</v>
      </c>
      <c r="J487" s="68">
        <v>5355.1</v>
      </c>
      <c r="K487" s="10"/>
    </row>
    <row r="488" spans="1:11" ht="25.5" x14ac:dyDescent="0.2">
      <c r="A488" s="220" t="s">
        <v>1491</v>
      </c>
      <c r="B488" s="222" t="s">
        <v>563</v>
      </c>
      <c r="C488" s="33" t="s">
        <v>566</v>
      </c>
      <c r="D488" s="40" t="s">
        <v>565</v>
      </c>
      <c r="E488" s="33" t="s">
        <v>23</v>
      </c>
      <c r="F488" s="68">
        <v>27</v>
      </c>
      <c r="G488" s="68">
        <v>7</v>
      </c>
      <c r="H488" s="68">
        <v>36</v>
      </c>
      <c r="I488" s="68">
        <v>36</v>
      </c>
      <c r="J488" s="68">
        <v>36</v>
      </c>
      <c r="K488" s="10"/>
    </row>
    <row r="489" spans="1:11" ht="62.25" customHeight="1" x14ac:dyDescent="0.2">
      <c r="A489" s="221"/>
      <c r="B489" s="223"/>
      <c r="C489" s="33" t="s">
        <v>362</v>
      </c>
      <c r="D489" s="149" t="s">
        <v>302</v>
      </c>
      <c r="E489" s="27" t="s">
        <v>303</v>
      </c>
      <c r="F489" s="68">
        <v>3238.6000000000004</v>
      </c>
      <c r="G489" s="68">
        <v>4191.7</v>
      </c>
      <c r="H489" s="68">
        <v>4450.6000000000004</v>
      </c>
      <c r="I489" s="68">
        <v>4698.8</v>
      </c>
      <c r="J489" s="68">
        <v>4959</v>
      </c>
      <c r="K489" s="10"/>
    </row>
    <row r="490" spans="1:11" ht="15.75" x14ac:dyDescent="0.2">
      <c r="A490" s="220" t="s">
        <v>1492</v>
      </c>
      <c r="B490" s="222" t="s">
        <v>567</v>
      </c>
      <c r="C490" s="33" t="s">
        <v>568</v>
      </c>
      <c r="D490" s="149" t="s">
        <v>569</v>
      </c>
      <c r="E490" s="27" t="s">
        <v>336</v>
      </c>
      <c r="F490" s="68">
        <v>0</v>
      </c>
      <c r="G490" s="68">
        <v>30</v>
      </c>
      <c r="H490" s="68">
        <v>30</v>
      </c>
      <c r="I490" s="68">
        <v>30</v>
      </c>
      <c r="J490" s="68">
        <v>30</v>
      </c>
      <c r="K490" s="10"/>
    </row>
    <row r="491" spans="1:11" ht="66.75" customHeight="1" x14ac:dyDescent="0.2">
      <c r="A491" s="221"/>
      <c r="B491" s="223"/>
      <c r="C491" s="33" t="s">
        <v>373</v>
      </c>
      <c r="D491" s="149" t="s">
        <v>302</v>
      </c>
      <c r="E491" s="27" t="s">
        <v>303</v>
      </c>
      <c r="F491" s="68">
        <v>0</v>
      </c>
      <c r="G491" s="68">
        <v>1302.8</v>
      </c>
      <c r="H491" s="68">
        <v>1583.1</v>
      </c>
      <c r="I491" s="68">
        <v>1637.6999999999998</v>
      </c>
      <c r="J491" s="68">
        <v>1694.3000000000002</v>
      </c>
      <c r="K491" s="10"/>
    </row>
    <row r="492" spans="1:11" ht="25.5" x14ac:dyDescent="0.2">
      <c r="A492" s="220" t="s">
        <v>1493</v>
      </c>
      <c r="B492" s="222" t="s">
        <v>570</v>
      </c>
      <c r="C492" s="33" t="s">
        <v>568</v>
      </c>
      <c r="D492" s="149" t="s">
        <v>571</v>
      </c>
      <c r="E492" s="27" t="s">
        <v>23</v>
      </c>
      <c r="F492" s="68">
        <v>0</v>
      </c>
      <c r="G492" s="68">
        <v>71</v>
      </c>
      <c r="H492" s="68">
        <v>71</v>
      </c>
      <c r="I492" s="68">
        <v>71</v>
      </c>
      <c r="J492" s="68">
        <v>71</v>
      </c>
      <c r="K492" s="10"/>
    </row>
    <row r="493" spans="1:11" ht="66.75" customHeight="1" x14ac:dyDescent="0.2">
      <c r="A493" s="221"/>
      <c r="B493" s="223"/>
      <c r="C493" s="33" t="s">
        <v>373</v>
      </c>
      <c r="D493" s="149" t="s">
        <v>302</v>
      </c>
      <c r="E493" s="27" t="s">
        <v>303</v>
      </c>
      <c r="F493" s="68">
        <v>0</v>
      </c>
      <c r="G493" s="68">
        <v>4215.6000000000004</v>
      </c>
      <c r="H493" s="68">
        <v>5229.8999999999996</v>
      </c>
      <c r="I493" s="68">
        <v>5401.5</v>
      </c>
      <c r="J493" s="68">
        <v>5579.9000000000005</v>
      </c>
      <c r="K493" s="10"/>
    </row>
    <row r="494" spans="1:11" ht="15.75" x14ac:dyDescent="0.2">
      <c r="A494" s="220" t="s">
        <v>1494</v>
      </c>
      <c r="B494" s="222" t="s">
        <v>378</v>
      </c>
      <c r="C494" s="33" t="s">
        <v>379</v>
      </c>
      <c r="D494" s="149" t="s">
        <v>374</v>
      </c>
      <c r="E494" s="27" t="s">
        <v>367</v>
      </c>
      <c r="F494" s="68">
        <v>0</v>
      </c>
      <c r="G494" s="68">
        <v>2683</v>
      </c>
      <c r="H494" s="68">
        <v>2000</v>
      </c>
      <c r="I494" s="68">
        <v>2000</v>
      </c>
      <c r="J494" s="68">
        <v>2000</v>
      </c>
      <c r="K494" s="10"/>
    </row>
    <row r="495" spans="1:11" ht="60.75" customHeight="1" x14ac:dyDescent="0.2">
      <c r="A495" s="221"/>
      <c r="B495" s="223"/>
      <c r="C495" s="33" t="s">
        <v>373</v>
      </c>
      <c r="D495" s="149" t="s">
        <v>302</v>
      </c>
      <c r="E495" s="27" t="s">
        <v>303</v>
      </c>
      <c r="F495" s="68">
        <v>0</v>
      </c>
      <c r="G495" s="68">
        <v>686.3</v>
      </c>
      <c r="H495" s="68">
        <v>1072.7</v>
      </c>
      <c r="I495" s="68">
        <v>1090.4000000000001</v>
      </c>
      <c r="J495" s="68">
        <v>1105.3999999999999</v>
      </c>
      <c r="K495" s="10"/>
    </row>
    <row r="496" spans="1:11" ht="15.75" x14ac:dyDescent="0.2">
      <c r="A496" s="220" t="s">
        <v>1495</v>
      </c>
      <c r="B496" s="222" t="s">
        <v>380</v>
      </c>
      <c r="C496" s="33" t="s">
        <v>381</v>
      </c>
      <c r="D496" s="149" t="s">
        <v>374</v>
      </c>
      <c r="E496" s="27" t="s">
        <v>367</v>
      </c>
      <c r="F496" s="68">
        <v>0</v>
      </c>
      <c r="G496" s="68">
        <v>12292</v>
      </c>
      <c r="H496" s="68">
        <v>6000</v>
      </c>
      <c r="I496" s="68">
        <v>6000</v>
      </c>
      <c r="J496" s="68">
        <v>6000</v>
      </c>
      <c r="K496" s="10"/>
    </row>
    <row r="497" spans="1:11" ht="51" x14ac:dyDescent="0.2">
      <c r="A497" s="221"/>
      <c r="B497" s="223"/>
      <c r="C497" s="33" t="s">
        <v>373</v>
      </c>
      <c r="D497" s="149" t="s">
        <v>302</v>
      </c>
      <c r="E497" s="27" t="s">
        <v>303</v>
      </c>
      <c r="F497" s="68">
        <v>0</v>
      </c>
      <c r="G497" s="68">
        <v>2058.8000000000002</v>
      </c>
      <c r="H497" s="68">
        <v>3217.1</v>
      </c>
      <c r="I497" s="68">
        <v>3272.1</v>
      </c>
      <c r="J497" s="68">
        <v>3318.2</v>
      </c>
      <c r="K497" s="10"/>
    </row>
    <row r="498" spans="1:11" ht="15.75" x14ac:dyDescent="0.2">
      <c r="A498" s="220" t="s">
        <v>1496</v>
      </c>
      <c r="B498" s="222" t="s">
        <v>572</v>
      </c>
      <c r="C498" s="33" t="s">
        <v>391</v>
      </c>
      <c r="D498" s="149" t="s">
        <v>374</v>
      </c>
      <c r="E498" s="27" t="s">
        <v>367</v>
      </c>
      <c r="F498" s="68">
        <v>0</v>
      </c>
      <c r="G498" s="68">
        <v>14975</v>
      </c>
      <c r="H498" s="68">
        <v>8000</v>
      </c>
      <c r="I498" s="68">
        <v>8000</v>
      </c>
      <c r="J498" s="68">
        <v>8000</v>
      </c>
      <c r="K498" s="10"/>
    </row>
    <row r="499" spans="1:11" ht="64.5" customHeight="1" x14ac:dyDescent="0.2">
      <c r="A499" s="221"/>
      <c r="B499" s="223"/>
      <c r="C499" s="33" t="s">
        <v>373</v>
      </c>
      <c r="D499" s="149" t="s">
        <v>302</v>
      </c>
      <c r="E499" s="27" t="s">
        <v>303</v>
      </c>
      <c r="F499" s="68">
        <v>0</v>
      </c>
      <c r="G499" s="68">
        <v>2745.1</v>
      </c>
      <c r="H499" s="68">
        <v>4289.5</v>
      </c>
      <c r="I499" s="68">
        <v>4362.8999999999996</v>
      </c>
      <c r="J499" s="68">
        <v>4424.3999999999996</v>
      </c>
      <c r="K499" s="10"/>
    </row>
    <row r="500" spans="1:11" ht="15.75" x14ac:dyDescent="0.2">
      <c r="A500" s="220" t="s">
        <v>1497</v>
      </c>
      <c r="B500" s="222" t="s">
        <v>395</v>
      </c>
      <c r="C500" s="33" t="s">
        <v>396</v>
      </c>
      <c r="D500" s="149" t="s">
        <v>375</v>
      </c>
      <c r="E500" s="27" t="s">
        <v>376</v>
      </c>
      <c r="F500" s="68">
        <v>0</v>
      </c>
      <c r="G500" s="68">
        <v>3754</v>
      </c>
      <c r="H500" s="68">
        <v>3754</v>
      </c>
      <c r="I500" s="68">
        <v>3754</v>
      </c>
      <c r="J500" s="68">
        <v>3754</v>
      </c>
      <c r="K500" s="10"/>
    </row>
    <row r="501" spans="1:11" ht="59.25" customHeight="1" x14ac:dyDescent="0.2">
      <c r="A501" s="221"/>
      <c r="B501" s="223"/>
      <c r="C501" s="33" t="s">
        <v>373</v>
      </c>
      <c r="D501" s="149" t="s">
        <v>302</v>
      </c>
      <c r="E501" s="27" t="s">
        <v>303</v>
      </c>
      <c r="F501" s="68">
        <v>0</v>
      </c>
      <c r="G501" s="68">
        <v>307.2</v>
      </c>
      <c r="H501" s="68">
        <v>480</v>
      </c>
      <c r="I501" s="68">
        <v>488.2</v>
      </c>
      <c r="J501" s="68">
        <v>495.1</v>
      </c>
      <c r="K501" s="10"/>
    </row>
    <row r="502" spans="1:11" s="22" customFormat="1" ht="15.75" x14ac:dyDescent="0.2">
      <c r="A502" s="220" t="s">
        <v>1498</v>
      </c>
      <c r="B502" s="222" t="s">
        <v>2029</v>
      </c>
      <c r="C502" s="33" t="s">
        <v>383</v>
      </c>
      <c r="D502" s="149" t="s">
        <v>377</v>
      </c>
      <c r="E502" s="27" t="s">
        <v>371</v>
      </c>
      <c r="F502" s="68">
        <v>0</v>
      </c>
      <c r="G502" s="68">
        <v>5</v>
      </c>
      <c r="H502" s="68">
        <v>4</v>
      </c>
      <c r="I502" s="68">
        <v>4</v>
      </c>
      <c r="J502" s="68">
        <v>4</v>
      </c>
      <c r="K502" s="73"/>
    </row>
    <row r="503" spans="1:11" s="22" customFormat="1" ht="63" customHeight="1" x14ac:dyDescent="0.2">
      <c r="A503" s="221"/>
      <c r="B503" s="223"/>
      <c r="C503" s="33" t="s">
        <v>373</v>
      </c>
      <c r="D503" s="149" t="s">
        <v>302</v>
      </c>
      <c r="E503" s="27" t="s">
        <v>303</v>
      </c>
      <c r="F503" s="68">
        <v>0</v>
      </c>
      <c r="G503" s="68">
        <v>924.5</v>
      </c>
      <c r="H503" s="68">
        <v>1444.6</v>
      </c>
      <c r="I503" s="68">
        <v>1469.3</v>
      </c>
      <c r="J503" s="68">
        <v>1490</v>
      </c>
      <c r="K503" s="73"/>
    </row>
    <row r="504" spans="1:11" s="89" customFormat="1" ht="57.75" customHeight="1" x14ac:dyDescent="0.2">
      <c r="A504" s="228" t="s">
        <v>573</v>
      </c>
      <c r="B504" s="229"/>
      <c r="C504" s="230"/>
      <c r="D504" s="120" t="s">
        <v>302</v>
      </c>
      <c r="E504" s="121" t="s">
        <v>303</v>
      </c>
      <c r="F504" s="94">
        <f>F245+F247+F249+F251+F253+F255+F257+F259+F261+F263+F265+F267+F269+F271+F273+F275+F277+F279+F281+F283+F285+F287+F289+F291+F293+F295+F297+F299+F301+F303+F305+F307+F309+F311+F313+F315+F317+F319+F321+F323+F325+F327+F329+F331+F333+F335+F337+F339+F341+F343+F345+F347+F349+F351+F353+F355+F357+F359+F361+F363+F365+F367+F369+F371+F373+F375+F377+F379+F381+F383+F385+F387+F389+F391+F393+F395+F397+F399+F401+F403+F405+F407+F409+F411+F413+F415+F417+F419+F421+F423+F425+F427+F429+F431+F433+F435+F437+F439+F441+F443+F445+F447+F449+F451+F453+F455+F457+F459+F461+F463+F465+F467+F469+F471+F473+F475+F477+F479+F481+F483+F485+F487+F489+F491+F493+F495+F497+F499+F501+F503</f>
        <v>1444472.8</v>
      </c>
      <c r="G504" s="94">
        <f t="shared" ref="G504:J504" si="21">G245+G247+G249+G251+G253+G255+G257+G259+G261+G263+G265+G267+G269+G271+G273+G275+G277+G279+G281+G283+G285+G287+G289+G291+G293+G295+G297+G299+G301+G303+G305+G307+G309+G311+G313+G315+G317+G319+G321+G323+G325+G327+G329+G331+G333+G335+G337+G339+G341+G343+G345+G347+G349+G351+G353+G355+G357+G359+G361+G363+G365+G367+G369+G371+G373+G375+G377+G379+G381+G383+G385+G387+G389+G391+G393+G395+G397+G399+G401+G403+G405+G407+G409+G411+G413+G415+G417+G419+G421+G423+G425+G427+G429+G431+G433+G435+G437+G439+G441+G443+G445+G447+G449+G451+G453+G455+G457+G459+G461+G463+G465+G467+G469+G471+G473+G475+G477+G479+G481+G483+G485+G487+G489+G491+G493+G495+G497+G499+G501+G503</f>
        <v>1577479.1000000013</v>
      </c>
      <c r="H504" s="94">
        <f t="shared" si="21"/>
        <v>1665179.7</v>
      </c>
      <c r="I504" s="94">
        <f t="shared" si="21"/>
        <v>1720800.14</v>
      </c>
      <c r="J504" s="94">
        <f t="shared" si="21"/>
        <v>1770789.1000000003</v>
      </c>
      <c r="K504" s="88"/>
    </row>
    <row r="505" spans="1:11" s="86" customFormat="1" ht="36" customHeight="1" x14ac:dyDescent="0.2">
      <c r="A505" s="170" t="s">
        <v>1381</v>
      </c>
      <c r="B505" s="213" t="s">
        <v>779</v>
      </c>
      <c r="C505" s="214"/>
      <c r="D505" s="214"/>
      <c r="E505" s="214"/>
      <c r="F505" s="214"/>
      <c r="G505" s="214"/>
      <c r="H505" s="214"/>
      <c r="I505" s="214"/>
      <c r="J505" s="215"/>
      <c r="K505" s="85"/>
    </row>
    <row r="506" spans="1:11" ht="25.5" x14ac:dyDescent="0.2">
      <c r="A506" s="220" t="s">
        <v>1382</v>
      </c>
      <c r="B506" s="224" t="s">
        <v>1876</v>
      </c>
      <c r="C506" s="20" t="s">
        <v>576</v>
      </c>
      <c r="D506" s="136" t="s">
        <v>577</v>
      </c>
      <c r="E506" s="12" t="s">
        <v>301</v>
      </c>
      <c r="F506" s="70">
        <v>59</v>
      </c>
      <c r="G506" s="70">
        <v>60</v>
      </c>
      <c r="H506" s="70">
        <v>60</v>
      </c>
      <c r="I506" s="70">
        <v>60</v>
      </c>
      <c r="J506" s="70">
        <v>60</v>
      </c>
      <c r="K506" s="10"/>
    </row>
    <row r="507" spans="1:11" ht="15.75" x14ac:dyDescent="0.2">
      <c r="A507" s="221"/>
      <c r="B507" s="225"/>
      <c r="C507" s="13" t="s">
        <v>578</v>
      </c>
      <c r="D507" s="136" t="s">
        <v>579</v>
      </c>
      <c r="E507" s="14" t="s">
        <v>303</v>
      </c>
      <c r="F507" s="21">
        <v>369.55888508333334</v>
      </c>
      <c r="G507" s="21">
        <v>3917.6030000000001</v>
      </c>
      <c r="H507" s="21">
        <v>3969.8854297520661</v>
      </c>
      <c r="I507" s="21">
        <v>3958.1350454545459</v>
      </c>
      <c r="J507" s="21">
        <v>4300.525871900827</v>
      </c>
      <c r="K507" s="10"/>
    </row>
    <row r="508" spans="1:11" ht="25.5" x14ac:dyDescent="0.2">
      <c r="A508" s="220" t="s">
        <v>1499</v>
      </c>
      <c r="B508" s="224" t="s">
        <v>1877</v>
      </c>
      <c r="C508" s="20" t="s">
        <v>580</v>
      </c>
      <c r="D508" s="136" t="s">
        <v>577</v>
      </c>
      <c r="E508" s="12" t="s">
        <v>301</v>
      </c>
      <c r="F508" s="70">
        <v>36</v>
      </c>
      <c r="G508" s="70">
        <v>36</v>
      </c>
      <c r="H508" s="70">
        <v>36</v>
      </c>
      <c r="I508" s="70">
        <v>36</v>
      </c>
      <c r="J508" s="70">
        <v>36</v>
      </c>
      <c r="K508" s="10"/>
    </row>
    <row r="509" spans="1:11" ht="15.75" x14ac:dyDescent="0.2">
      <c r="A509" s="221"/>
      <c r="B509" s="225"/>
      <c r="C509" s="13" t="s">
        <v>578</v>
      </c>
      <c r="D509" s="136" t="s">
        <v>579</v>
      </c>
      <c r="E509" s="14" t="s">
        <v>303</v>
      </c>
      <c r="F509" s="21">
        <v>1949.257595</v>
      </c>
      <c r="G509" s="21">
        <v>1935.14</v>
      </c>
      <c r="H509" s="21">
        <v>1963.4881157024795</v>
      </c>
      <c r="I509" s="21">
        <v>1975.6720454545452</v>
      </c>
      <c r="J509" s="21">
        <v>2318.0628719008264</v>
      </c>
      <c r="K509" s="10"/>
    </row>
    <row r="510" spans="1:11" ht="25.5" x14ac:dyDescent="0.2">
      <c r="A510" s="220" t="s">
        <v>1500</v>
      </c>
      <c r="B510" s="224" t="s">
        <v>1878</v>
      </c>
      <c r="C510" s="20" t="s">
        <v>581</v>
      </c>
      <c r="D510" s="136" t="s">
        <v>577</v>
      </c>
      <c r="E510" s="12" t="s">
        <v>301</v>
      </c>
      <c r="F510" s="70">
        <v>15</v>
      </c>
      <c r="G510" s="70">
        <v>36</v>
      </c>
      <c r="H510" s="70">
        <v>36</v>
      </c>
      <c r="I510" s="70">
        <v>36</v>
      </c>
      <c r="J510" s="70">
        <v>36</v>
      </c>
      <c r="K510" s="10"/>
    </row>
    <row r="511" spans="1:11" ht="15.75" x14ac:dyDescent="0.2">
      <c r="A511" s="221"/>
      <c r="B511" s="225"/>
      <c r="C511" s="13" t="s">
        <v>578</v>
      </c>
      <c r="D511" s="136" t="s">
        <v>579</v>
      </c>
      <c r="E511" s="14" t="s">
        <v>303</v>
      </c>
      <c r="F511" s="21">
        <v>961.93439999999987</v>
      </c>
      <c r="G511" s="21">
        <v>400.71</v>
      </c>
      <c r="H511" s="21">
        <v>429.05811570247931</v>
      </c>
      <c r="I511" s="21">
        <v>441.24204545454546</v>
      </c>
      <c r="J511" s="21">
        <v>783.63287190082644</v>
      </c>
      <c r="K511" s="10"/>
    </row>
    <row r="512" spans="1:11" ht="25.5" x14ac:dyDescent="0.2">
      <c r="A512" s="220" t="s">
        <v>1501</v>
      </c>
      <c r="B512" s="224" t="s">
        <v>1879</v>
      </c>
      <c r="C512" s="20" t="s">
        <v>582</v>
      </c>
      <c r="D512" s="136" t="s">
        <v>577</v>
      </c>
      <c r="E512" s="12" t="s">
        <v>301</v>
      </c>
      <c r="F512" s="70">
        <v>24</v>
      </c>
      <c r="G512" s="70">
        <v>6</v>
      </c>
      <c r="H512" s="70">
        <v>6</v>
      </c>
      <c r="I512" s="70">
        <v>6</v>
      </c>
      <c r="J512" s="70">
        <v>6</v>
      </c>
      <c r="K512" s="10"/>
    </row>
    <row r="513" spans="1:11" ht="15.75" x14ac:dyDescent="0.2">
      <c r="A513" s="221"/>
      <c r="B513" s="225"/>
      <c r="C513" s="13" t="s">
        <v>578</v>
      </c>
      <c r="D513" s="136" t="s">
        <v>579</v>
      </c>
      <c r="E513" s="14" t="s">
        <v>303</v>
      </c>
      <c r="F513" s="21">
        <v>2286.66</v>
      </c>
      <c r="G513" s="21">
        <v>508.77</v>
      </c>
      <c r="H513" s="21">
        <v>537.11811570247926</v>
      </c>
      <c r="I513" s="21">
        <v>549.30204545454535</v>
      </c>
      <c r="J513" s="21">
        <v>891.69287190082628</v>
      </c>
      <c r="K513" s="10"/>
    </row>
    <row r="514" spans="1:11" ht="25.5" x14ac:dyDescent="0.2">
      <c r="A514" s="220" t="s">
        <v>1502</v>
      </c>
      <c r="B514" s="226" t="s">
        <v>1880</v>
      </c>
      <c r="C514" s="15" t="s">
        <v>583</v>
      </c>
      <c r="D514" s="138" t="s">
        <v>577</v>
      </c>
      <c r="E514" s="16" t="s">
        <v>301</v>
      </c>
      <c r="F514" s="70">
        <v>0</v>
      </c>
      <c r="G514" s="70">
        <v>25</v>
      </c>
      <c r="H514" s="70"/>
      <c r="I514" s="70"/>
      <c r="J514" s="70"/>
      <c r="K514" s="10"/>
    </row>
    <row r="515" spans="1:11" ht="15.75" x14ac:dyDescent="0.2">
      <c r="A515" s="221"/>
      <c r="B515" s="227"/>
      <c r="C515" s="17" t="s">
        <v>578</v>
      </c>
      <c r="D515" s="138" t="s">
        <v>579</v>
      </c>
      <c r="E515" s="18" t="s">
        <v>303</v>
      </c>
      <c r="F515" s="21">
        <v>0</v>
      </c>
      <c r="G515" s="21">
        <v>1006.36</v>
      </c>
      <c r="H515" s="21">
        <v>1034.7081157024793</v>
      </c>
      <c r="I515" s="21">
        <v>1046.8920454545455</v>
      </c>
      <c r="J515" s="21">
        <v>1389.2828719008264</v>
      </c>
      <c r="K515" s="10"/>
    </row>
    <row r="516" spans="1:11" ht="25.5" x14ac:dyDescent="0.2">
      <c r="A516" s="220" t="s">
        <v>1503</v>
      </c>
      <c r="B516" s="224" t="s">
        <v>1881</v>
      </c>
      <c r="C516" s="20" t="s">
        <v>584</v>
      </c>
      <c r="D516" s="136" t="s">
        <v>577</v>
      </c>
      <c r="E516" s="12" t="s">
        <v>301</v>
      </c>
      <c r="F516" s="70">
        <v>8</v>
      </c>
      <c r="G516" s="70">
        <v>3</v>
      </c>
      <c r="H516" s="70">
        <v>3</v>
      </c>
      <c r="I516" s="70">
        <v>3</v>
      </c>
      <c r="J516" s="70">
        <v>3</v>
      </c>
      <c r="K516" s="10"/>
    </row>
    <row r="517" spans="1:11" ht="15.75" x14ac:dyDescent="0.2">
      <c r="A517" s="221"/>
      <c r="B517" s="225"/>
      <c r="C517" s="13" t="s">
        <v>578</v>
      </c>
      <c r="D517" s="136" t="s">
        <v>579</v>
      </c>
      <c r="E517" s="14" t="s">
        <v>303</v>
      </c>
      <c r="F517" s="21">
        <v>1956.02</v>
      </c>
      <c r="G517" s="21">
        <v>729.95</v>
      </c>
      <c r="H517" s="21">
        <v>758.29811570247932</v>
      </c>
      <c r="I517" s="21">
        <v>770.48204545454541</v>
      </c>
      <c r="J517" s="21">
        <v>1112.8728719008263</v>
      </c>
      <c r="K517" s="10"/>
    </row>
    <row r="518" spans="1:11" ht="25.5" x14ac:dyDescent="0.2">
      <c r="A518" s="220" t="s">
        <v>1504</v>
      </c>
      <c r="B518" s="224" t="s">
        <v>1882</v>
      </c>
      <c r="C518" s="20" t="s">
        <v>585</v>
      </c>
      <c r="D518" s="136" t="s">
        <v>577</v>
      </c>
      <c r="E518" s="12" t="s">
        <v>301</v>
      </c>
      <c r="F518" s="70">
        <v>6</v>
      </c>
      <c r="G518" s="70">
        <v>6</v>
      </c>
      <c r="H518" s="70">
        <v>6</v>
      </c>
      <c r="I518" s="70">
        <v>6</v>
      </c>
      <c r="J518" s="70">
        <v>6</v>
      </c>
      <c r="K518" s="10"/>
    </row>
    <row r="519" spans="1:11" ht="15.75" x14ac:dyDescent="0.2">
      <c r="A519" s="221"/>
      <c r="B519" s="225"/>
      <c r="C519" s="13" t="s">
        <v>578</v>
      </c>
      <c r="D519" s="136" t="s">
        <v>579</v>
      </c>
      <c r="E519" s="14" t="s">
        <v>303</v>
      </c>
      <c r="F519" s="21">
        <v>1951.02</v>
      </c>
      <c r="G519" s="21">
        <v>763.14800000000002</v>
      </c>
      <c r="H519" s="21">
        <v>791.4961157024793</v>
      </c>
      <c r="I519" s="21">
        <v>803.68004545454539</v>
      </c>
      <c r="J519" s="21">
        <v>1146.0708719008264</v>
      </c>
      <c r="K519" s="10"/>
    </row>
    <row r="520" spans="1:11" ht="25.5" x14ac:dyDescent="0.2">
      <c r="A520" s="220" t="s">
        <v>1505</v>
      </c>
      <c r="B520" s="224" t="s">
        <v>1883</v>
      </c>
      <c r="C520" s="20" t="s">
        <v>586</v>
      </c>
      <c r="D520" s="136" t="s">
        <v>577</v>
      </c>
      <c r="E520" s="12" t="s">
        <v>301</v>
      </c>
      <c r="F520" s="70">
        <v>16</v>
      </c>
      <c r="G520" s="70">
        <v>17</v>
      </c>
      <c r="H520" s="70">
        <v>17</v>
      </c>
      <c r="I520" s="70">
        <v>17</v>
      </c>
      <c r="J520" s="70">
        <v>17</v>
      </c>
      <c r="K520" s="10"/>
    </row>
    <row r="521" spans="1:11" ht="15.75" x14ac:dyDescent="0.2">
      <c r="A521" s="221"/>
      <c r="B521" s="225"/>
      <c r="C521" s="13" t="s">
        <v>578</v>
      </c>
      <c r="D521" s="136" t="s">
        <v>579</v>
      </c>
      <c r="E521" s="14" t="s">
        <v>303</v>
      </c>
      <c r="F521" s="21">
        <v>1851.25</v>
      </c>
      <c r="G521" s="21">
        <v>1026.9480000000001</v>
      </c>
      <c r="H521" s="21">
        <v>1055.2961157024795</v>
      </c>
      <c r="I521" s="21">
        <v>1067.4800454545452</v>
      </c>
      <c r="J521" s="21">
        <v>1409.8708719008262</v>
      </c>
      <c r="K521" s="10"/>
    </row>
    <row r="522" spans="1:11" ht="25.5" x14ac:dyDescent="0.2">
      <c r="A522" s="220" t="s">
        <v>1506</v>
      </c>
      <c r="B522" s="224" t="s">
        <v>1377</v>
      </c>
      <c r="C522" s="20" t="s">
        <v>587</v>
      </c>
      <c r="D522" s="136" t="s">
        <v>577</v>
      </c>
      <c r="E522" s="12" t="s">
        <v>301</v>
      </c>
      <c r="F522" s="70">
        <v>10</v>
      </c>
      <c r="G522" s="70">
        <v>10</v>
      </c>
      <c r="H522" s="70">
        <v>10</v>
      </c>
      <c r="I522" s="70">
        <v>10</v>
      </c>
      <c r="J522" s="70">
        <v>10</v>
      </c>
      <c r="K522" s="10"/>
    </row>
    <row r="523" spans="1:11" ht="15.75" x14ac:dyDescent="0.2">
      <c r="A523" s="221"/>
      <c r="B523" s="225"/>
      <c r="C523" s="13" t="s">
        <v>578</v>
      </c>
      <c r="D523" s="136" t="s">
        <v>579</v>
      </c>
      <c r="E523" s="14" t="s">
        <v>303</v>
      </c>
      <c r="F523" s="21">
        <v>516.26009500000009</v>
      </c>
      <c r="G523" s="21">
        <v>304.95999999999998</v>
      </c>
      <c r="H523" s="21">
        <v>333.30811570247931</v>
      </c>
      <c r="I523" s="21">
        <v>345.49204545454546</v>
      </c>
      <c r="J523" s="21">
        <v>687.88287190082644</v>
      </c>
      <c r="K523" s="10"/>
    </row>
    <row r="524" spans="1:11" ht="25.5" x14ac:dyDescent="0.2">
      <c r="A524" s="220" t="s">
        <v>1507</v>
      </c>
      <c r="B524" s="224" t="s">
        <v>1378</v>
      </c>
      <c r="C524" s="20" t="s">
        <v>588</v>
      </c>
      <c r="D524" s="136" t="s">
        <v>577</v>
      </c>
      <c r="E524" s="12" t="s">
        <v>301</v>
      </c>
      <c r="F524" s="70">
        <v>12</v>
      </c>
      <c r="G524" s="70">
        <v>12</v>
      </c>
      <c r="H524" s="70">
        <v>12</v>
      </c>
      <c r="I524" s="70">
        <v>12</v>
      </c>
      <c r="J524" s="70">
        <v>12</v>
      </c>
      <c r="K524" s="10"/>
    </row>
    <row r="525" spans="1:11" ht="15.75" x14ac:dyDescent="0.2">
      <c r="A525" s="221"/>
      <c r="B525" s="225"/>
      <c r="C525" s="13" t="s">
        <v>578</v>
      </c>
      <c r="D525" s="136" t="s">
        <v>579</v>
      </c>
      <c r="E525" s="14" t="s">
        <v>303</v>
      </c>
      <c r="F525" s="21">
        <v>740.06</v>
      </c>
      <c r="G525" s="21">
        <v>86.25</v>
      </c>
      <c r="H525" s="21">
        <v>114.59811570247933</v>
      </c>
      <c r="I525" s="21">
        <v>126.78204545454545</v>
      </c>
      <c r="J525" s="21">
        <v>469.17287190082641</v>
      </c>
      <c r="K525" s="10"/>
    </row>
    <row r="526" spans="1:11" ht="25.5" x14ac:dyDescent="0.2">
      <c r="A526" s="220" t="s">
        <v>1508</v>
      </c>
      <c r="B526" s="224" t="s">
        <v>1379</v>
      </c>
      <c r="C526" s="20" t="s">
        <v>589</v>
      </c>
      <c r="D526" s="136" t="s">
        <v>577</v>
      </c>
      <c r="E526" s="12" t="s">
        <v>301</v>
      </c>
      <c r="F526" s="70">
        <v>2</v>
      </c>
      <c r="G526" s="70">
        <v>2</v>
      </c>
      <c r="H526" s="70">
        <v>2</v>
      </c>
      <c r="I526" s="70">
        <v>2</v>
      </c>
      <c r="J526" s="70">
        <v>2</v>
      </c>
      <c r="K526" s="10"/>
    </row>
    <row r="527" spans="1:11" ht="15.75" x14ac:dyDescent="0.2">
      <c r="A527" s="221"/>
      <c r="B527" s="225"/>
      <c r="C527" s="13" t="s">
        <v>578</v>
      </c>
      <c r="D527" s="136" t="s">
        <v>579</v>
      </c>
      <c r="E527" s="14" t="s">
        <v>303</v>
      </c>
      <c r="F527" s="21">
        <v>626.22</v>
      </c>
      <c r="G527" s="21">
        <v>514.26400000000001</v>
      </c>
      <c r="H527" s="21">
        <v>542.61211570247929</v>
      </c>
      <c r="I527" s="21">
        <v>554.79604545454538</v>
      </c>
      <c r="J527" s="21">
        <v>897.18687190082642</v>
      </c>
      <c r="K527" s="10"/>
    </row>
    <row r="528" spans="1:11" ht="25.5" x14ac:dyDescent="0.2">
      <c r="A528" s="220" t="s">
        <v>1509</v>
      </c>
      <c r="B528" s="224" t="s">
        <v>1380</v>
      </c>
      <c r="C528" s="20" t="s">
        <v>590</v>
      </c>
      <c r="D528" s="136" t="s">
        <v>577</v>
      </c>
      <c r="E528" s="12" t="s">
        <v>301</v>
      </c>
      <c r="F528" s="70">
        <v>5</v>
      </c>
      <c r="G528" s="70">
        <v>7</v>
      </c>
      <c r="H528" s="70">
        <v>7</v>
      </c>
      <c r="I528" s="70">
        <v>7</v>
      </c>
      <c r="J528" s="70">
        <v>7</v>
      </c>
      <c r="K528" s="10"/>
    </row>
    <row r="529" spans="1:11" ht="15.75" x14ac:dyDescent="0.2">
      <c r="A529" s="221"/>
      <c r="B529" s="225"/>
      <c r="C529" s="13" t="s">
        <v>578</v>
      </c>
      <c r="D529" s="136" t="s">
        <v>579</v>
      </c>
      <c r="E529" s="14" t="s">
        <v>303</v>
      </c>
      <c r="F529" s="21">
        <v>614.12</v>
      </c>
      <c r="G529" s="21">
        <v>1110.4690000000001</v>
      </c>
      <c r="H529" s="21">
        <v>1138.8171157024794</v>
      </c>
      <c r="I529" s="21">
        <v>1151.0010454545454</v>
      </c>
      <c r="J529" s="21">
        <v>1493.3918719008263</v>
      </c>
      <c r="K529" s="10"/>
    </row>
    <row r="530" spans="1:11" ht="25.5" x14ac:dyDescent="0.2">
      <c r="A530" s="220" t="s">
        <v>1510</v>
      </c>
      <c r="B530" s="224" t="s">
        <v>1884</v>
      </c>
      <c r="C530" s="20" t="s">
        <v>591</v>
      </c>
      <c r="D530" s="136" t="s">
        <v>577</v>
      </c>
      <c r="E530" s="12" t="s">
        <v>301</v>
      </c>
      <c r="F530" s="70">
        <v>33</v>
      </c>
      <c r="G530" s="70">
        <v>19</v>
      </c>
      <c r="H530" s="70">
        <v>19</v>
      </c>
      <c r="I530" s="70">
        <v>19</v>
      </c>
      <c r="J530" s="70">
        <v>19</v>
      </c>
      <c r="K530" s="10"/>
    </row>
    <row r="531" spans="1:11" ht="15.75" x14ac:dyDescent="0.2">
      <c r="A531" s="221"/>
      <c r="B531" s="225"/>
      <c r="C531" s="13" t="s">
        <v>578</v>
      </c>
      <c r="D531" s="136" t="s">
        <v>579</v>
      </c>
      <c r="E531" s="14" t="s">
        <v>303</v>
      </c>
      <c r="F531" s="21">
        <v>1319.22</v>
      </c>
      <c r="G531" s="21">
        <v>1974.374</v>
      </c>
      <c r="H531" s="21">
        <v>2002.7221157024794</v>
      </c>
      <c r="I531" s="21">
        <v>2014.9060454545452</v>
      </c>
      <c r="J531" s="21">
        <v>2357.2968719008263</v>
      </c>
      <c r="K531" s="10"/>
    </row>
    <row r="532" spans="1:11" ht="25.5" x14ac:dyDescent="0.2">
      <c r="A532" s="220" t="s">
        <v>1511</v>
      </c>
      <c r="B532" s="224" t="s">
        <v>1885</v>
      </c>
      <c r="C532" s="20" t="s">
        <v>592</v>
      </c>
      <c r="D532" s="136" t="s">
        <v>577</v>
      </c>
      <c r="E532" s="12" t="s">
        <v>301</v>
      </c>
      <c r="F532" s="70">
        <v>11</v>
      </c>
      <c r="G532" s="70">
        <v>20</v>
      </c>
      <c r="H532" s="70">
        <v>20</v>
      </c>
      <c r="I532" s="70">
        <v>20</v>
      </c>
      <c r="J532" s="70">
        <v>20</v>
      </c>
      <c r="K532" s="10"/>
    </row>
    <row r="533" spans="1:11" ht="15.75" x14ac:dyDescent="0.2">
      <c r="A533" s="221"/>
      <c r="B533" s="225"/>
      <c r="C533" s="13" t="s">
        <v>578</v>
      </c>
      <c r="D533" s="136" t="s">
        <v>579</v>
      </c>
      <c r="E533" s="14" t="s">
        <v>303</v>
      </c>
      <c r="F533" s="21">
        <v>1218.1200000000001</v>
      </c>
      <c r="G533" s="21">
        <v>1467.47</v>
      </c>
      <c r="H533" s="21">
        <v>1495.8181157024794</v>
      </c>
      <c r="I533" s="21">
        <v>1508.0020454545452</v>
      </c>
      <c r="J533" s="21">
        <v>1850.3928719008261</v>
      </c>
      <c r="K533" s="10"/>
    </row>
    <row r="534" spans="1:11" ht="25.5" x14ac:dyDescent="0.2">
      <c r="A534" s="220" t="s">
        <v>1512</v>
      </c>
      <c r="B534" s="224" t="s">
        <v>1886</v>
      </c>
      <c r="C534" s="20" t="s">
        <v>593</v>
      </c>
      <c r="D534" s="136" t="s">
        <v>577</v>
      </c>
      <c r="E534" s="12" t="s">
        <v>301</v>
      </c>
      <c r="F534" s="70">
        <v>485</v>
      </c>
      <c r="G534" s="70">
        <v>634</v>
      </c>
      <c r="H534" s="70">
        <v>634</v>
      </c>
      <c r="I534" s="70">
        <v>634</v>
      </c>
      <c r="J534" s="70">
        <v>634</v>
      </c>
      <c r="K534" s="10"/>
    </row>
    <row r="535" spans="1:11" ht="15.75" x14ac:dyDescent="0.2">
      <c r="A535" s="221"/>
      <c r="B535" s="225"/>
      <c r="C535" s="13" t="s">
        <v>578</v>
      </c>
      <c r="D535" s="136" t="s">
        <v>579</v>
      </c>
      <c r="E535" s="14" t="s">
        <v>303</v>
      </c>
      <c r="F535" s="21">
        <v>6275.76</v>
      </c>
      <c r="G535" s="21">
        <v>8012</v>
      </c>
      <c r="H535" s="21">
        <v>8040.3481157024789</v>
      </c>
      <c r="I535" s="21">
        <v>8052.5320454545454</v>
      </c>
      <c r="J535" s="21">
        <v>8394.9228719008261</v>
      </c>
      <c r="K535" s="10"/>
    </row>
    <row r="536" spans="1:11" ht="25.5" x14ac:dyDescent="0.2">
      <c r="A536" s="220" t="s">
        <v>1513</v>
      </c>
      <c r="B536" s="224" t="s">
        <v>1887</v>
      </c>
      <c r="C536" s="20" t="s">
        <v>594</v>
      </c>
      <c r="D536" s="136" t="s">
        <v>577</v>
      </c>
      <c r="E536" s="12" t="s">
        <v>301</v>
      </c>
      <c r="F536" s="70">
        <v>242</v>
      </c>
      <c r="G536" s="70">
        <v>245</v>
      </c>
      <c r="H536" s="70">
        <v>245</v>
      </c>
      <c r="I536" s="70">
        <v>245</v>
      </c>
      <c r="J536" s="70">
        <v>245</v>
      </c>
      <c r="K536" s="10"/>
    </row>
    <row r="537" spans="1:11" ht="15.75" x14ac:dyDescent="0.2">
      <c r="A537" s="221"/>
      <c r="B537" s="225"/>
      <c r="C537" s="13" t="s">
        <v>578</v>
      </c>
      <c r="D537" s="136" t="s">
        <v>579</v>
      </c>
      <c r="E537" s="14" t="s">
        <v>303</v>
      </c>
      <c r="F537" s="21">
        <v>8724.17</v>
      </c>
      <c r="G537" s="21">
        <v>10002.290000000001</v>
      </c>
      <c r="H537" s="21">
        <v>10030.638115702481</v>
      </c>
      <c r="I537" s="21">
        <v>10042.822045454544</v>
      </c>
      <c r="J537" s="21">
        <v>10385.212871900825</v>
      </c>
      <c r="K537" s="10"/>
    </row>
    <row r="538" spans="1:11" ht="25.5" x14ac:dyDescent="0.2">
      <c r="A538" s="220" t="s">
        <v>1514</v>
      </c>
      <c r="B538" s="224" t="s">
        <v>1888</v>
      </c>
      <c r="C538" s="20" t="s">
        <v>595</v>
      </c>
      <c r="D538" s="136" t="s">
        <v>577</v>
      </c>
      <c r="E538" s="12" t="s">
        <v>301</v>
      </c>
      <c r="F538" s="70">
        <v>4</v>
      </c>
      <c r="G538" s="70">
        <v>7</v>
      </c>
      <c r="H538" s="70">
        <v>7</v>
      </c>
      <c r="I538" s="70">
        <v>7</v>
      </c>
      <c r="J538" s="70">
        <v>7</v>
      </c>
      <c r="K538" s="10"/>
    </row>
    <row r="539" spans="1:11" ht="15.75" x14ac:dyDescent="0.2">
      <c r="A539" s="221"/>
      <c r="B539" s="225"/>
      <c r="C539" s="13" t="s">
        <v>578</v>
      </c>
      <c r="D539" s="136" t="s">
        <v>579</v>
      </c>
      <c r="E539" s="14" t="s">
        <v>303</v>
      </c>
      <c r="F539" s="21">
        <v>262.38973000000004</v>
      </c>
      <c r="G539" s="21">
        <v>511.53</v>
      </c>
      <c r="H539" s="21">
        <v>539.87811570247925</v>
      </c>
      <c r="I539" s="21">
        <v>552.06204545454534</v>
      </c>
      <c r="J539" s="21">
        <v>894.45287190082627</v>
      </c>
      <c r="K539" s="10"/>
    </row>
    <row r="540" spans="1:11" ht="25.5" x14ac:dyDescent="0.2">
      <c r="A540" s="220" t="s">
        <v>1515</v>
      </c>
      <c r="B540" s="224" t="s">
        <v>1889</v>
      </c>
      <c r="C540" s="20" t="s">
        <v>596</v>
      </c>
      <c r="D540" s="136" t="s">
        <v>577</v>
      </c>
      <c r="E540" s="12" t="s">
        <v>301</v>
      </c>
      <c r="F540" s="70">
        <v>9</v>
      </c>
      <c r="G540" s="70">
        <v>8</v>
      </c>
      <c r="H540" s="70">
        <v>8</v>
      </c>
      <c r="I540" s="70">
        <v>8</v>
      </c>
      <c r="J540" s="70">
        <v>8</v>
      </c>
      <c r="K540" s="10"/>
    </row>
    <row r="541" spans="1:11" ht="15.75" x14ac:dyDescent="0.2">
      <c r="A541" s="221"/>
      <c r="B541" s="225"/>
      <c r="C541" s="13" t="s">
        <v>578</v>
      </c>
      <c r="D541" s="136" t="s">
        <v>579</v>
      </c>
      <c r="E541" s="14" t="s">
        <v>303</v>
      </c>
      <c r="F541" s="21">
        <v>6502.26</v>
      </c>
      <c r="G541" s="21">
        <v>1450.85</v>
      </c>
      <c r="H541" s="21">
        <v>1479.1981157024793</v>
      </c>
      <c r="I541" s="21">
        <v>1491.3820454545453</v>
      </c>
      <c r="J541" s="21">
        <v>1833.7728719008262</v>
      </c>
      <c r="K541" s="10"/>
    </row>
    <row r="542" spans="1:11" ht="25.5" x14ac:dyDescent="0.2">
      <c r="A542" s="220" t="s">
        <v>1516</v>
      </c>
      <c r="B542" s="224" t="s">
        <v>1890</v>
      </c>
      <c r="C542" s="20" t="s">
        <v>597</v>
      </c>
      <c r="D542" s="136" t="s">
        <v>577</v>
      </c>
      <c r="E542" s="12" t="s">
        <v>301</v>
      </c>
      <c r="F542" s="70">
        <v>4</v>
      </c>
      <c r="G542" s="70">
        <v>3</v>
      </c>
      <c r="H542" s="70">
        <v>3</v>
      </c>
      <c r="I542" s="70">
        <v>3</v>
      </c>
      <c r="J542" s="70">
        <v>3</v>
      </c>
      <c r="K542" s="10"/>
    </row>
    <row r="543" spans="1:11" ht="15.75" x14ac:dyDescent="0.2">
      <c r="A543" s="221"/>
      <c r="B543" s="225"/>
      <c r="C543" s="13" t="s">
        <v>578</v>
      </c>
      <c r="D543" s="136" t="s">
        <v>579</v>
      </c>
      <c r="E543" s="14" t="s">
        <v>303</v>
      </c>
      <c r="F543" s="21">
        <v>97.890000000000015</v>
      </c>
      <c r="G543" s="21">
        <v>735.44</v>
      </c>
      <c r="H543" s="21">
        <v>763.78811570247933</v>
      </c>
      <c r="I543" s="21">
        <v>775.97204545454542</v>
      </c>
      <c r="J543" s="21">
        <v>1118.3628719008263</v>
      </c>
      <c r="K543" s="10"/>
    </row>
    <row r="544" spans="1:11" ht="25.5" x14ac:dyDescent="0.2">
      <c r="A544" s="220" t="s">
        <v>1517</v>
      </c>
      <c r="B544" s="224" t="s">
        <v>1891</v>
      </c>
      <c r="C544" s="20" t="s">
        <v>598</v>
      </c>
      <c r="D544" s="136" t="s">
        <v>577</v>
      </c>
      <c r="E544" s="12" t="s">
        <v>301</v>
      </c>
      <c r="F544" s="70">
        <v>10</v>
      </c>
      <c r="G544" s="70">
        <v>10</v>
      </c>
      <c r="H544" s="70">
        <v>10</v>
      </c>
      <c r="I544" s="70">
        <v>10</v>
      </c>
      <c r="J544" s="70">
        <v>10</v>
      </c>
      <c r="K544" s="10"/>
    </row>
    <row r="545" spans="1:11" ht="15.75" x14ac:dyDescent="0.2">
      <c r="A545" s="221"/>
      <c r="B545" s="225"/>
      <c r="C545" s="13" t="s">
        <v>578</v>
      </c>
      <c r="D545" s="136" t="s">
        <v>579</v>
      </c>
      <c r="E545" s="14" t="s">
        <v>303</v>
      </c>
      <c r="F545" s="21">
        <v>870.49</v>
      </c>
      <c r="G545" s="21">
        <v>813.29</v>
      </c>
      <c r="H545" s="21">
        <v>841.63811570247924</v>
      </c>
      <c r="I545" s="21">
        <v>853.82204545454533</v>
      </c>
      <c r="J545" s="21">
        <v>1196.2128719008263</v>
      </c>
      <c r="K545" s="10"/>
    </row>
    <row r="546" spans="1:11" ht="25.5" x14ac:dyDescent="0.2">
      <c r="A546" s="220" t="s">
        <v>1518</v>
      </c>
      <c r="B546" s="224" t="s">
        <v>1892</v>
      </c>
      <c r="C546" s="20" t="s">
        <v>599</v>
      </c>
      <c r="D546" s="136" t="s">
        <v>577</v>
      </c>
      <c r="E546" s="12" t="s">
        <v>301</v>
      </c>
      <c r="F546" s="70">
        <v>12</v>
      </c>
      <c r="G546" s="70">
        <v>12</v>
      </c>
      <c r="H546" s="70">
        <v>12</v>
      </c>
      <c r="I546" s="70">
        <v>12</v>
      </c>
      <c r="J546" s="70">
        <v>12</v>
      </c>
      <c r="K546" s="10"/>
    </row>
    <row r="547" spans="1:11" ht="15.75" x14ac:dyDescent="0.2">
      <c r="A547" s="221"/>
      <c r="B547" s="225"/>
      <c r="C547" s="13" t="s">
        <v>578</v>
      </c>
      <c r="D547" s="136" t="s">
        <v>579</v>
      </c>
      <c r="E547" s="14" t="s">
        <v>303</v>
      </c>
      <c r="F547" s="21">
        <v>40.500000000000007</v>
      </c>
      <c r="G547" s="21">
        <v>1010.2140000000001</v>
      </c>
      <c r="H547" s="21">
        <v>1038.5621157024793</v>
      </c>
      <c r="I547" s="21">
        <v>1050.7460454545458</v>
      </c>
      <c r="J547" s="21">
        <v>1393.1368719008267</v>
      </c>
      <c r="K547" s="10"/>
    </row>
    <row r="548" spans="1:11" ht="25.5" x14ac:dyDescent="0.2">
      <c r="A548" s="220" t="s">
        <v>1519</v>
      </c>
      <c r="B548" s="224" t="s">
        <v>1893</v>
      </c>
      <c r="C548" s="20" t="s">
        <v>600</v>
      </c>
      <c r="D548" s="136" t="s">
        <v>577</v>
      </c>
      <c r="E548" s="12" t="s">
        <v>301</v>
      </c>
      <c r="F548" s="70">
        <v>6</v>
      </c>
      <c r="G548" s="70">
        <v>6</v>
      </c>
      <c r="H548" s="70">
        <v>6</v>
      </c>
      <c r="I548" s="70">
        <v>6</v>
      </c>
      <c r="J548" s="70">
        <v>6</v>
      </c>
      <c r="K548" s="10"/>
    </row>
    <row r="549" spans="1:11" ht="15.75" x14ac:dyDescent="0.2">
      <c r="A549" s="221"/>
      <c r="B549" s="225"/>
      <c r="C549" s="13" t="s">
        <v>578</v>
      </c>
      <c r="D549" s="136" t="s">
        <v>579</v>
      </c>
      <c r="E549" s="14" t="s">
        <v>303</v>
      </c>
      <c r="F549" s="21">
        <v>5699.59</v>
      </c>
      <c r="G549" s="21">
        <v>2441.31</v>
      </c>
      <c r="H549" s="21">
        <v>2469.6581157024793</v>
      </c>
      <c r="I549" s="21">
        <v>2481.8420454545458</v>
      </c>
      <c r="J549" s="21">
        <v>2824.2328719008269</v>
      </c>
      <c r="K549" s="10"/>
    </row>
    <row r="550" spans="1:11" ht="25.5" x14ac:dyDescent="0.2">
      <c r="A550" s="220" t="s">
        <v>1520</v>
      </c>
      <c r="B550" s="224" t="s">
        <v>1894</v>
      </c>
      <c r="C550" s="20" t="s">
        <v>601</v>
      </c>
      <c r="D550" s="136" t="s">
        <v>577</v>
      </c>
      <c r="E550" s="12" t="s">
        <v>301</v>
      </c>
      <c r="F550" s="70">
        <v>11</v>
      </c>
      <c r="G550" s="70">
        <v>12</v>
      </c>
      <c r="H550" s="70">
        <v>12</v>
      </c>
      <c r="I550" s="70">
        <v>12</v>
      </c>
      <c r="J550" s="70">
        <v>12</v>
      </c>
      <c r="K550" s="10"/>
    </row>
    <row r="551" spans="1:11" ht="15.75" x14ac:dyDescent="0.2">
      <c r="A551" s="221"/>
      <c r="B551" s="225"/>
      <c r="C551" s="13" t="s">
        <v>578</v>
      </c>
      <c r="D551" s="136" t="s">
        <v>579</v>
      </c>
      <c r="E551" s="14" t="s">
        <v>303</v>
      </c>
      <c r="F551" s="21">
        <v>4587.29</v>
      </c>
      <c r="G551" s="21">
        <v>3185.25</v>
      </c>
      <c r="H551" s="21">
        <v>3213.5981157024794</v>
      </c>
      <c r="I551" s="21">
        <v>3225.7820454545458</v>
      </c>
      <c r="J551" s="21">
        <v>3568.172871900827</v>
      </c>
      <c r="K551" s="10"/>
    </row>
    <row r="552" spans="1:11" ht="25.5" x14ac:dyDescent="0.2">
      <c r="A552" s="220" t="s">
        <v>1521</v>
      </c>
      <c r="B552" s="224" t="s">
        <v>1895</v>
      </c>
      <c r="C552" s="20" t="s">
        <v>602</v>
      </c>
      <c r="D552" s="136" t="s">
        <v>577</v>
      </c>
      <c r="E552" s="12" t="s">
        <v>301</v>
      </c>
      <c r="F552" s="70">
        <v>48</v>
      </c>
      <c r="G552" s="70">
        <v>60</v>
      </c>
      <c r="H552" s="70">
        <v>60</v>
      </c>
      <c r="I552" s="70">
        <v>60</v>
      </c>
      <c r="J552" s="70">
        <v>60</v>
      </c>
      <c r="K552" s="10"/>
    </row>
    <row r="553" spans="1:11" ht="15.75" x14ac:dyDescent="0.2">
      <c r="A553" s="221"/>
      <c r="B553" s="225"/>
      <c r="C553" s="13" t="s">
        <v>578</v>
      </c>
      <c r="D553" s="136" t="s">
        <v>579</v>
      </c>
      <c r="E553" s="14" t="s">
        <v>303</v>
      </c>
      <c r="F553" s="21">
        <v>9482.5400000000009</v>
      </c>
      <c r="G553" s="21">
        <v>6190.5820000000003</v>
      </c>
      <c r="H553" s="21">
        <v>6218.9301157024793</v>
      </c>
      <c r="I553" s="21">
        <v>6231.1140454545457</v>
      </c>
      <c r="J553" s="21">
        <v>6573.5048719008264</v>
      </c>
      <c r="K553" s="10"/>
    </row>
    <row r="554" spans="1:11" ht="25.5" x14ac:dyDescent="0.2">
      <c r="A554" s="220" t="s">
        <v>1522</v>
      </c>
      <c r="B554" s="224" t="s">
        <v>1896</v>
      </c>
      <c r="C554" s="20" t="s">
        <v>603</v>
      </c>
      <c r="D554" s="136" t="s">
        <v>577</v>
      </c>
      <c r="E554" s="12" t="s">
        <v>301</v>
      </c>
      <c r="F554" s="70">
        <v>233</v>
      </c>
      <c r="G554" s="70">
        <v>279</v>
      </c>
      <c r="H554" s="70">
        <v>279</v>
      </c>
      <c r="I554" s="70">
        <v>279</v>
      </c>
      <c r="J554" s="70">
        <v>279</v>
      </c>
      <c r="K554" s="10"/>
    </row>
    <row r="555" spans="1:11" ht="15.75" x14ac:dyDescent="0.2">
      <c r="A555" s="221"/>
      <c r="B555" s="225"/>
      <c r="C555" s="13" t="s">
        <v>578</v>
      </c>
      <c r="D555" s="136" t="s">
        <v>579</v>
      </c>
      <c r="E555" s="14" t="s">
        <v>303</v>
      </c>
      <c r="F555" s="21">
        <v>5218.79</v>
      </c>
      <c r="G555" s="21">
        <v>9692.89</v>
      </c>
      <c r="H555" s="21">
        <v>9721.2381157024793</v>
      </c>
      <c r="I555" s="21">
        <v>9733.422045454543</v>
      </c>
      <c r="J555" s="21">
        <v>10075.812871900824</v>
      </c>
      <c r="K555" s="10"/>
    </row>
    <row r="556" spans="1:11" ht="25.5" x14ac:dyDescent="0.2">
      <c r="A556" s="220" t="s">
        <v>1523</v>
      </c>
      <c r="B556" s="224" t="s">
        <v>1897</v>
      </c>
      <c r="C556" s="20" t="s">
        <v>604</v>
      </c>
      <c r="D556" s="136" t="s">
        <v>577</v>
      </c>
      <c r="E556" s="12" t="s">
        <v>301</v>
      </c>
      <c r="F556" s="70">
        <v>12</v>
      </c>
      <c r="G556" s="70">
        <v>12</v>
      </c>
      <c r="H556" s="70">
        <v>12</v>
      </c>
      <c r="I556" s="70">
        <v>12</v>
      </c>
      <c r="J556" s="70">
        <v>12</v>
      </c>
      <c r="K556" s="10"/>
    </row>
    <row r="557" spans="1:11" ht="15.75" x14ac:dyDescent="0.2">
      <c r="A557" s="221"/>
      <c r="B557" s="225"/>
      <c r="C557" s="13" t="s">
        <v>578</v>
      </c>
      <c r="D557" s="136" t="s">
        <v>579</v>
      </c>
      <c r="E557" s="14" t="s">
        <v>303</v>
      </c>
      <c r="F557" s="21">
        <v>101.1</v>
      </c>
      <c r="G557" s="21">
        <v>197.73</v>
      </c>
      <c r="H557" s="21">
        <v>226.07811570247935</v>
      </c>
      <c r="I557" s="21">
        <v>238.26204545454544</v>
      </c>
      <c r="J557" s="21">
        <v>580.65287190082643</v>
      </c>
      <c r="K557" s="10"/>
    </row>
    <row r="558" spans="1:11" ht="25.5" x14ac:dyDescent="0.2">
      <c r="A558" s="220" t="s">
        <v>1524</v>
      </c>
      <c r="B558" s="224" t="s">
        <v>1898</v>
      </c>
      <c r="C558" s="20" t="s">
        <v>605</v>
      </c>
      <c r="D558" s="136" t="s">
        <v>577</v>
      </c>
      <c r="E558" s="12" t="s">
        <v>301</v>
      </c>
      <c r="F558" s="70">
        <v>45</v>
      </c>
      <c r="G558" s="70">
        <v>45</v>
      </c>
      <c r="H558" s="70">
        <v>45</v>
      </c>
      <c r="I558" s="70">
        <v>45</v>
      </c>
      <c r="J558" s="70">
        <v>45</v>
      </c>
      <c r="K558" s="10"/>
    </row>
    <row r="559" spans="1:11" ht="15.75" x14ac:dyDescent="0.2">
      <c r="A559" s="221"/>
      <c r="B559" s="225"/>
      <c r="C559" s="13" t="s">
        <v>578</v>
      </c>
      <c r="D559" s="136" t="s">
        <v>579</v>
      </c>
      <c r="E559" s="14" t="s">
        <v>303</v>
      </c>
      <c r="F559" s="21">
        <v>713.13</v>
      </c>
      <c r="G559" s="21">
        <v>1686.23</v>
      </c>
      <c r="H559" s="21">
        <v>1714.5781157024794</v>
      </c>
      <c r="I559" s="21">
        <v>1726.7620454545454</v>
      </c>
      <c r="J559" s="21">
        <v>2069.1528719008265</v>
      </c>
      <c r="K559" s="10"/>
    </row>
    <row r="560" spans="1:11" ht="25.5" x14ac:dyDescent="0.2">
      <c r="A560" s="220" t="s">
        <v>1525</v>
      </c>
      <c r="B560" s="224" t="s">
        <v>1899</v>
      </c>
      <c r="C560" s="20" t="s">
        <v>606</v>
      </c>
      <c r="D560" s="136" t="s">
        <v>577</v>
      </c>
      <c r="E560" s="12" t="s">
        <v>301</v>
      </c>
      <c r="F560" s="70">
        <v>102</v>
      </c>
      <c r="G560" s="70">
        <v>102</v>
      </c>
      <c r="H560" s="70">
        <v>102</v>
      </c>
      <c r="I560" s="70">
        <v>102</v>
      </c>
      <c r="J560" s="70">
        <v>102</v>
      </c>
      <c r="K560" s="10"/>
    </row>
    <row r="561" spans="1:11" ht="15.75" x14ac:dyDescent="0.2">
      <c r="A561" s="221"/>
      <c r="B561" s="225"/>
      <c r="C561" s="13" t="s">
        <v>578</v>
      </c>
      <c r="D561" s="136" t="s">
        <v>579</v>
      </c>
      <c r="E561" s="14" t="s">
        <v>303</v>
      </c>
      <c r="F561" s="21">
        <v>1957.88</v>
      </c>
      <c r="G561" s="21">
        <v>1266.6099999999999</v>
      </c>
      <c r="H561" s="21">
        <v>1294.9581157024793</v>
      </c>
      <c r="I561" s="21">
        <v>1307.142045454545</v>
      </c>
      <c r="J561" s="21">
        <v>1649.532871900826</v>
      </c>
      <c r="K561" s="10"/>
    </row>
    <row r="562" spans="1:11" ht="25.5" x14ac:dyDescent="0.2">
      <c r="A562" s="220" t="s">
        <v>1526</v>
      </c>
      <c r="B562" s="224" t="s">
        <v>1900</v>
      </c>
      <c r="C562" s="20" t="s">
        <v>607</v>
      </c>
      <c r="D562" s="136" t="s">
        <v>577</v>
      </c>
      <c r="E562" s="12" t="s">
        <v>301</v>
      </c>
      <c r="F562" s="70">
        <v>57</v>
      </c>
      <c r="G562" s="70">
        <v>57</v>
      </c>
      <c r="H562" s="70">
        <v>57</v>
      </c>
      <c r="I562" s="70">
        <v>57</v>
      </c>
      <c r="J562" s="70">
        <v>57</v>
      </c>
      <c r="K562" s="10"/>
    </row>
    <row r="563" spans="1:11" ht="15.75" x14ac:dyDescent="0.2">
      <c r="A563" s="221"/>
      <c r="B563" s="225"/>
      <c r="C563" s="13" t="s">
        <v>578</v>
      </c>
      <c r="D563" s="136" t="s">
        <v>579</v>
      </c>
      <c r="E563" s="14" t="s">
        <v>303</v>
      </c>
      <c r="F563" s="21">
        <v>1109.72</v>
      </c>
      <c r="G563" s="21">
        <v>1875.97</v>
      </c>
      <c r="H563" s="21">
        <v>1904.3181157024794</v>
      </c>
      <c r="I563" s="21">
        <v>1916.5020454545452</v>
      </c>
      <c r="J563" s="21">
        <v>2258.8928719008263</v>
      </c>
      <c r="K563" s="10"/>
    </row>
    <row r="564" spans="1:11" ht="25.5" x14ac:dyDescent="0.2">
      <c r="A564" s="220" t="s">
        <v>1527</v>
      </c>
      <c r="B564" s="224" t="s">
        <v>1901</v>
      </c>
      <c r="C564" s="20" t="s">
        <v>608</v>
      </c>
      <c r="D564" s="136" t="s">
        <v>577</v>
      </c>
      <c r="E564" s="12" t="s">
        <v>301</v>
      </c>
      <c r="F564" s="70">
        <v>4</v>
      </c>
      <c r="G564" s="70">
        <v>4</v>
      </c>
      <c r="H564" s="70">
        <v>4</v>
      </c>
      <c r="I564" s="70">
        <v>4</v>
      </c>
      <c r="J564" s="70">
        <v>4</v>
      </c>
      <c r="K564" s="10"/>
    </row>
    <row r="565" spans="1:11" ht="15.75" x14ac:dyDescent="0.2">
      <c r="A565" s="221"/>
      <c r="B565" s="225"/>
      <c r="C565" s="13" t="s">
        <v>578</v>
      </c>
      <c r="D565" s="136" t="s">
        <v>579</v>
      </c>
      <c r="E565" s="14" t="s">
        <v>303</v>
      </c>
      <c r="F565" s="21">
        <v>141.39000000000001</v>
      </c>
      <c r="G565" s="21">
        <v>2271.88</v>
      </c>
      <c r="H565" s="21">
        <v>759.84811570247928</v>
      </c>
      <c r="I565" s="21">
        <v>772.03204545454537</v>
      </c>
      <c r="J565" s="21">
        <v>11114.42287190083</v>
      </c>
      <c r="K565" s="10"/>
    </row>
    <row r="566" spans="1:11" s="22" customFormat="1" ht="15.75" x14ac:dyDescent="0.2">
      <c r="A566" s="71"/>
      <c r="B566" s="54"/>
      <c r="C566" s="17"/>
      <c r="D566" s="138"/>
      <c r="E566" s="18"/>
      <c r="F566" s="72">
        <v>0</v>
      </c>
      <c r="G566" s="72"/>
      <c r="H566" s="58">
        <v>0</v>
      </c>
      <c r="I566" s="58">
        <v>0</v>
      </c>
      <c r="J566" s="58"/>
      <c r="K566" s="73"/>
    </row>
    <row r="567" spans="1:11" ht="25.5" x14ac:dyDescent="0.2">
      <c r="A567" s="220" t="s">
        <v>1528</v>
      </c>
      <c r="B567" s="224" t="s">
        <v>1902</v>
      </c>
      <c r="C567" s="20" t="s">
        <v>609</v>
      </c>
      <c r="D567" s="136" t="s">
        <v>577</v>
      </c>
      <c r="E567" s="12" t="s">
        <v>301</v>
      </c>
      <c r="F567" s="70">
        <v>23</v>
      </c>
      <c r="G567" s="70">
        <v>23</v>
      </c>
      <c r="H567" s="70">
        <v>23</v>
      </c>
      <c r="I567" s="70">
        <v>23</v>
      </c>
      <c r="J567" s="70">
        <v>23</v>
      </c>
      <c r="K567" s="10"/>
    </row>
    <row r="568" spans="1:11" ht="15.75" x14ac:dyDescent="0.2">
      <c r="A568" s="221"/>
      <c r="B568" s="225"/>
      <c r="C568" s="13" t="s">
        <v>578</v>
      </c>
      <c r="D568" s="136" t="s">
        <v>579</v>
      </c>
      <c r="E568" s="14" t="s">
        <v>303</v>
      </c>
      <c r="F568" s="21">
        <v>3629.3680555555557</v>
      </c>
      <c r="G568" s="21">
        <v>950.14</v>
      </c>
      <c r="H568" s="21">
        <v>978.48811570247926</v>
      </c>
      <c r="I568" s="21">
        <v>990.67204545454535</v>
      </c>
      <c r="J568" s="21">
        <v>1333.0628719008264</v>
      </c>
      <c r="K568" s="10"/>
    </row>
    <row r="569" spans="1:11" ht="25.5" x14ac:dyDescent="0.2">
      <c r="A569" s="220" t="s">
        <v>1529</v>
      </c>
      <c r="B569" s="224" t="s">
        <v>1903</v>
      </c>
      <c r="C569" s="20" t="s">
        <v>610</v>
      </c>
      <c r="D569" s="136" t="s">
        <v>577</v>
      </c>
      <c r="E569" s="12" t="s">
        <v>301</v>
      </c>
      <c r="F569" s="70">
        <v>67</v>
      </c>
      <c r="G569" s="70">
        <v>64</v>
      </c>
      <c r="H569" s="70">
        <v>64</v>
      </c>
      <c r="I569" s="70">
        <v>64</v>
      </c>
      <c r="J569" s="70">
        <v>64</v>
      </c>
      <c r="K569" s="10"/>
    </row>
    <row r="570" spans="1:11" ht="15.75" x14ac:dyDescent="0.2">
      <c r="A570" s="221"/>
      <c r="B570" s="225"/>
      <c r="C570" s="13" t="s">
        <v>578</v>
      </c>
      <c r="D570" s="136" t="s">
        <v>579</v>
      </c>
      <c r="E570" s="14" t="s">
        <v>303</v>
      </c>
      <c r="F570" s="21">
        <v>236.49</v>
      </c>
      <c r="G570" s="21">
        <v>1392.78</v>
      </c>
      <c r="H570" s="21">
        <v>1421.1281157024794</v>
      </c>
      <c r="I570" s="21">
        <v>1433.3120454545451</v>
      </c>
      <c r="J570" s="21">
        <v>1775.702871900826</v>
      </c>
      <c r="K570" s="10"/>
    </row>
    <row r="571" spans="1:11" ht="25.5" x14ac:dyDescent="0.2">
      <c r="A571" s="220" t="s">
        <v>1530</v>
      </c>
      <c r="B571" s="224" t="s">
        <v>1904</v>
      </c>
      <c r="C571" s="20" t="s">
        <v>611</v>
      </c>
      <c r="D571" s="136" t="s">
        <v>577</v>
      </c>
      <c r="E571" s="12" t="s">
        <v>301</v>
      </c>
      <c r="F571" s="70">
        <v>108</v>
      </c>
      <c r="G571" s="70">
        <v>132</v>
      </c>
      <c r="H571" s="70">
        <v>132</v>
      </c>
      <c r="I571" s="70">
        <v>132</v>
      </c>
      <c r="J571" s="70">
        <v>132</v>
      </c>
      <c r="K571" s="10"/>
    </row>
    <row r="572" spans="1:11" ht="15.75" x14ac:dyDescent="0.2">
      <c r="A572" s="221"/>
      <c r="B572" s="225"/>
      <c r="C572" s="13" t="s">
        <v>578</v>
      </c>
      <c r="D572" s="136" t="s">
        <v>579</v>
      </c>
      <c r="E572" s="14" t="s">
        <v>303</v>
      </c>
      <c r="F572" s="21">
        <v>1297.95</v>
      </c>
      <c r="G572" s="21">
        <v>2092.9499999999998</v>
      </c>
      <c r="H572" s="21">
        <v>2121.2981157024792</v>
      </c>
      <c r="I572" s="21">
        <v>2133.4820454545456</v>
      </c>
      <c r="J572" s="21">
        <v>2475.8728719008268</v>
      </c>
      <c r="K572" s="10"/>
    </row>
    <row r="573" spans="1:11" ht="25.5" x14ac:dyDescent="0.2">
      <c r="A573" s="220" t="s">
        <v>1531</v>
      </c>
      <c r="B573" s="224" t="s">
        <v>1905</v>
      </c>
      <c r="C573" s="20" t="s">
        <v>612</v>
      </c>
      <c r="D573" s="136" t="s">
        <v>577</v>
      </c>
      <c r="E573" s="12" t="s">
        <v>301</v>
      </c>
      <c r="F573" s="70">
        <v>76</v>
      </c>
      <c r="G573" s="70">
        <v>84</v>
      </c>
      <c r="H573" s="70">
        <v>84</v>
      </c>
      <c r="I573" s="70">
        <v>84</v>
      </c>
      <c r="J573" s="70">
        <v>84</v>
      </c>
      <c r="K573" s="10"/>
    </row>
    <row r="574" spans="1:11" ht="15.75" x14ac:dyDescent="0.2">
      <c r="A574" s="221"/>
      <c r="B574" s="225"/>
      <c r="C574" s="13" t="s">
        <v>578</v>
      </c>
      <c r="D574" s="136" t="s">
        <v>579</v>
      </c>
      <c r="E574" s="14" t="s">
        <v>303</v>
      </c>
      <c r="F574" s="21">
        <v>2198.5</v>
      </c>
      <c r="G574" s="21">
        <v>7892.22</v>
      </c>
      <c r="H574" s="21">
        <v>7920.5681157024792</v>
      </c>
      <c r="I574" s="21">
        <v>7932.7520454545456</v>
      </c>
      <c r="J574" s="21">
        <v>8275.1428719008272</v>
      </c>
      <c r="K574" s="10"/>
    </row>
    <row r="575" spans="1:11" ht="25.5" x14ac:dyDescent="0.2">
      <c r="A575" s="220" t="s">
        <v>1532</v>
      </c>
      <c r="B575" s="224" t="s">
        <v>1906</v>
      </c>
      <c r="C575" s="20" t="s">
        <v>613</v>
      </c>
      <c r="D575" s="136" t="s">
        <v>577</v>
      </c>
      <c r="E575" s="12" t="s">
        <v>301</v>
      </c>
      <c r="F575" s="70">
        <v>5</v>
      </c>
      <c r="G575" s="70">
        <v>9</v>
      </c>
      <c r="H575" s="70">
        <v>9</v>
      </c>
      <c r="I575" s="70">
        <v>9</v>
      </c>
      <c r="J575" s="70">
        <v>9</v>
      </c>
      <c r="K575" s="10"/>
    </row>
    <row r="576" spans="1:11" ht="15.75" x14ac:dyDescent="0.2">
      <c r="A576" s="221"/>
      <c r="B576" s="225"/>
      <c r="C576" s="13" t="s">
        <v>578</v>
      </c>
      <c r="D576" s="136" t="s">
        <v>579</v>
      </c>
      <c r="E576" s="14" t="s">
        <v>303</v>
      </c>
      <c r="F576" s="21">
        <v>100.7</v>
      </c>
      <c r="G576" s="21">
        <v>735.81</v>
      </c>
      <c r="H576" s="21">
        <v>764.15811570247922</v>
      </c>
      <c r="I576" s="21">
        <v>776.34204545454531</v>
      </c>
      <c r="J576" s="21">
        <v>1118.7328719008262</v>
      </c>
      <c r="K576" s="10"/>
    </row>
    <row r="577" spans="1:11" ht="25.5" x14ac:dyDescent="0.2">
      <c r="A577" s="220" t="s">
        <v>1533</v>
      </c>
      <c r="B577" s="224" t="s">
        <v>1907</v>
      </c>
      <c r="C577" s="20" t="s">
        <v>614</v>
      </c>
      <c r="D577" s="136" t="s">
        <v>577</v>
      </c>
      <c r="E577" s="12" t="s">
        <v>301</v>
      </c>
      <c r="F577" s="70">
        <v>21</v>
      </c>
      <c r="G577" s="70">
        <v>58</v>
      </c>
      <c r="H577" s="70">
        <v>58</v>
      </c>
      <c r="I577" s="70">
        <v>58</v>
      </c>
      <c r="J577" s="70">
        <v>58</v>
      </c>
      <c r="K577" s="10"/>
    </row>
    <row r="578" spans="1:11" ht="15.75" x14ac:dyDescent="0.2">
      <c r="A578" s="221"/>
      <c r="B578" s="225"/>
      <c r="C578" s="13" t="s">
        <v>578</v>
      </c>
      <c r="D578" s="136" t="s">
        <v>579</v>
      </c>
      <c r="E578" s="14" t="s">
        <v>303</v>
      </c>
      <c r="F578" s="21">
        <v>82.941249999999997</v>
      </c>
      <c r="G578" s="21">
        <v>2337.4299999999998</v>
      </c>
      <c r="H578" s="21">
        <v>2365.7781157024792</v>
      </c>
      <c r="I578" s="21">
        <v>2377.9620454545457</v>
      </c>
      <c r="J578" s="21">
        <v>2720.3528719008268</v>
      </c>
      <c r="K578" s="10"/>
    </row>
    <row r="579" spans="1:11" ht="25.5" x14ac:dyDescent="0.2">
      <c r="A579" s="220" t="s">
        <v>1534</v>
      </c>
      <c r="B579" s="224" t="s">
        <v>1908</v>
      </c>
      <c r="C579" s="20" t="s">
        <v>615</v>
      </c>
      <c r="D579" s="136" t="s">
        <v>577</v>
      </c>
      <c r="E579" s="12" t="s">
        <v>301</v>
      </c>
      <c r="F579" s="70">
        <v>29</v>
      </c>
      <c r="G579" s="70">
        <v>77</v>
      </c>
      <c r="H579" s="70">
        <v>77</v>
      </c>
      <c r="I579" s="70">
        <v>77</v>
      </c>
      <c r="J579" s="70">
        <v>77</v>
      </c>
      <c r="K579" s="10"/>
    </row>
    <row r="580" spans="1:11" ht="15.75" x14ac:dyDescent="0.2">
      <c r="A580" s="221"/>
      <c r="B580" s="225"/>
      <c r="C580" s="13" t="s">
        <v>578</v>
      </c>
      <c r="D580" s="136" t="s">
        <v>579</v>
      </c>
      <c r="E580" s="14" t="s">
        <v>303</v>
      </c>
      <c r="F580" s="21">
        <v>16.889999999999993</v>
      </c>
      <c r="G580" s="21">
        <v>1197.8800000000001</v>
      </c>
      <c r="H580" s="21">
        <v>1226.2281157024795</v>
      </c>
      <c r="I580" s="21">
        <v>1238.4120454545455</v>
      </c>
      <c r="J580" s="21">
        <v>1580.8028719008264</v>
      </c>
      <c r="K580" s="10"/>
    </row>
    <row r="581" spans="1:11" ht="25.5" x14ac:dyDescent="0.2">
      <c r="A581" s="220" t="s">
        <v>1535</v>
      </c>
      <c r="B581" s="224" t="s">
        <v>1909</v>
      </c>
      <c r="C581" s="20" t="s">
        <v>616</v>
      </c>
      <c r="D581" s="136" t="s">
        <v>577</v>
      </c>
      <c r="E581" s="12" t="s">
        <v>301</v>
      </c>
      <c r="F581" s="70">
        <v>8</v>
      </c>
      <c r="G581" s="70">
        <v>9</v>
      </c>
      <c r="H581" s="70">
        <v>9</v>
      </c>
      <c r="I581" s="70">
        <v>9</v>
      </c>
      <c r="J581" s="70">
        <v>9</v>
      </c>
      <c r="K581" s="10"/>
    </row>
    <row r="582" spans="1:11" ht="15.75" x14ac:dyDescent="0.2">
      <c r="A582" s="221"/>
      <c r="B582" s="225"/>
      <c r="C582" s="13" t="s">
        <v>578</v>
      </c>
      <c r="D582" s="136" t="s">
        <v>579</v>
      </c>
      <c r="E582" s="14" t="s">
        <v>303</v>
      </c>
      <c r="F582" s="21">
        <v>647.49</v>
      </c>
      <c r="G582" s="21">
        <v>522.94000000000005</v>
      </c>
      <c r="H582" s="21">
        <v>551.28811570247933</v>
      </c>
      <c r="I582" s="21">
        <v>563.47204545454542</v>
      </c>
      <c r="J582" s="21">
        <v>905.86287190082635</v>
      </c>
      <c r="K582" s="10"/>
    </row>
    <row r="583" spans="1:11" ht="25.5" x14ac:dyDescent="0.2">
      <c r="A583" s="220" t="s">
        <v>1536</v>
      </c>
      <c r="B583" s="224" t="s">
        <v>1910</v>
      </c>
      <c r="C583" s="20" t="s">
        <v>617</v>
      </c>
      <c r="D583" s="136" t="s">
        <v>577</v>
      </c>
      <c r="E583" s="12" t="s">
        <v>301</v>
      </c>
      <c r="F583" s="70">
        <v>72</v>
      </c>
      <c r="G583" s="70">
        <v>92</v>
      </c>
      <c r="H583" s="70">
        <v>92</v>
      </c>
      <c r="I583" s="70">
        <v>92</v>
      </c>
      <c r="J583" s="70">
        <v>92</v>
      </c>
      <c r="K583" s="10"/>
    </row>
    <row r="584" spans="1:11" ht="15.75" x14ac:dyDescent="0.2">
      <c r="A584" s="221"/>
      <c r="B584" s="225"/>
      <c r="C584" s="13" t="s">
        <v>578</v>
      </c>
      <c r="D584" s="136" t="s">
        <v>579</v>
      </c>
      <c r="E584" s="14" t="s">
        <v>303</v>
      </c>
      <c r="F584" s="21">
        <v>694.22210526315791</v>
      </c>
      <c r="G584" s="21">
        <v>5651.72</v>
      </c>
      <c r="H584" s="21">
        <v>5680.0681157024792</v>
      </c>
      <c r="I584" s="21">
        <v>5692.2520454545456</v>
      </c>
      <c r="J584" s="21">
        <v>6034.6428719008263</v>
      </c>
      <c r="K584" s="10"/>
    </row>
    <row r="585" spans="1:11" ht="25.5" x14ac:dyDescent="0.2">
      <c r="A585" s="220" t="s">
        <v>1537</v>
      </c>
      <c r="B585" s="224" t="s">
        <v>1911</v>
      </c>
      <c r="C585" s="20" t="s">
        <v>618</v>
      </c>
      <c r="D585" s="136" t="s">
        <v>577</v>
      </c>
      <c r="E585" s="12" t="s">
        <v>301</v>
      </c>
      <c r="F585" s="70">
        <v>59</v>
      </c>
      <c r="G585" s="70">
        <v>40</v>
      </c>
      <c r="H585" s="70">
        <v>40</v>
      </c>
      <c r="I585" s="70">
        <v>40</v>
      </c>
      <c r="J585" s="70">
        <v>40</v>
      </c>
      <c r="K585" s="10"/>
    </row>
    <row r="586" spans="1:11" ht="15.75" x14ac:dyDescent="0.2">
      <c r="A586" s="221"/>
      <c r="B586" s="225"/>
      <c r="C586" s="13" t="s">
        <v>578</v>
      </c>
      <c r="D586" s="136" t="s">
        <v>579</v>
      </c>
      <c r="E586" s="14" t="s">
        <v>303</v>
      </c>
      <c r="F586" s="21">
        <v>2334.0668181818182</v>
      </c>
      <c r="G586" s="21">
        <v>766.28399999999999</v>
      </c>
      <c r="H586" s="21">
        <v>794.63211570247927</v>
      </c>
      <c r="I586" s="21">
        <v>806.81604545454536</v>
      </c>
      <c r="J586" s="21">
        <v>1149.2068719008264</v>
      </c>
      <c r="K586" s="10"/>
    </row>
    <row r="587" spans="1:11" ht="25.5" x14ac:dyDescent="0.2">
      <c r="A587" s="220" t="s">
        <v>1538</v>
      </c>
      <c r="B587" s="224" t="s">
        <v>1912</v>
      </c>
      <c r="C587" s="20" t="s">
        <v>619</v>
      </c>
      <c r="D587" s="136" t="s">
        <v>577</v>
      </c>
      <c r="E587" s="12" t="s">
        <v>301</v>
      </c>
      <c r="F587" s="70">
        <v>9</v>
      </c>
      <c r="G587" s="70">
        <v>8</v>
      </c>
      <c r="H587" s="70">
        <v>8</v>
      </c>
      <c r="I587" s="70">
        <v>8</v>
      </c>
      <c r="J587" s="70">
        <v>8</v>
      </c>
      <c r="K587" s="10"/>
    </row>
    <row r="588" spans="1:11" ht="15.75" x14ac:dyDescent="0.2">
      <c r="A588" s="221"/>
      <c r="B588" s="225"/>
      <c r="C588" s="13" t="s">
        <v>578</v>
      </c>
      <c r="D588" s="136" t="s">
        <v>579</v>
      </c>
      <c r="E588" s="14" t="s">
        <v>303</v>
      </c>
      <c r="F588" s="21">
        <v>264.02579437500003</v>
      </c>
      <c r="G588" s="21">
        <v>358.18</v>
      </c>
      <c r="H588" s="21">
        <v>386.52811570247934</v>
      </c>
      <c r="I588" s="21">
        <v>398.71204545454549</v>
      </c>
      <c r="J588" s="21">
        <v>741.10287190082647</v>
      </c>
      <c r="K588" s="10"/>
    </row>
    <row r="589" spans="1:11" ht="25.5" x14ac:dyDescent="0.2">
      <c r="A589" s="220" t="s">
        <v>1539</v>
      </c>
      <c r="B589" s="224" t="s">
        <v>1913</v>
      </c>
      <c r="C589" s="20" t="s">
        <v>620</v>
      </c>
      <c r="D589" s="136" t="s">
        <v>577</v>
      </c>
      <c r="E589" s="12" t="s">
        <v>301</v>
      </c>
      <c r="F589" s="70">
        <v>21</v>
      </c>
      <c r="G589" s="70">
        <v>21</v>
      </c>
      <c r="H589" s="70">
        <v>21</v>
      </c>
      <c r="I589" s="70">
        <v>21</v>
      </c>
      <c r="J589" s="70">
        <v>21</v>
      </c>
      <c r="K589" s="10"/>
    </row>
    <row r="590" spans="1:11" ht="15.75" x14ac:dyDescent="0.2">
      <c r="A590" s="221"/>
      <c r="B590" s="225"/>
      <c r="C590" s="13" t="s">
        <v>578</v>
      </c>
      <c r="D590" s="136" t="s">
        <v>579</v>
      </c>
      <c r="E590" s="14" t="s">
        <v>303</v>
      </c>
      <c r="F590" s="21">
        <v>664.50859500000013</v>
      </c>
      <c r="G590" s="21">
        <v>572.03</v>
      </c>
      <c r="H590" s="21">
        <v>600.37811570247925</v>
      </c>
      <c r="I590" s="21">
        <v>612.56204545454534</v>
      </c>
      <c r="J590" s="21">
        <v>954.95287190082627</v>
      </c>
      <c r="K590" s="10"/>
    </row>
    <row r="591" spans="1:11" ht="25.5" x14ac:dyDescent="0.2">
      <c r="A591" s="220" t="s">
        <v>1540</v>
      </c>
      <c r="B591" s="224" t="s">
        <v>1916</v>
      </c>
      <c r="C591" s="20" t="s">
        <v>621</v>
      </c>
      <c r="D591" s="136" t="s">
        <v>577</v>
      </c>
      <c r="E591" s="12" t="s">
        <v>301</v>
      </c>
      <c r="F591" s="70">
        <v>9</v>
      </c>
      <c r="G591" s="70">
        <v>11</v>
      </c>
      <c r="H591" s="70">
        <v>11</v>
      </c>
      <c r="I591" s="70">
        <v>11</v>
      </c>
      <c r="J591" s="70">
        <v>11</v>
      </c>
      <c r="K591" s="10"/>
    </row>
    <row r="592" spans="1:11" ht="15.75" x14ac:dyDescent="0.2">
      <c r="A592" s="221"/>
      <c r="B592" s="225"/>
      <c r="C592" s="13" t="s">
        <v>578</v>
      </c>
      <c r="D592" s="136" t="s">
        <v>579</v>
      </c>
      <c r="E592" s="14" t="s">
        <v>303</v>
      </c>
      <c r="F592" s="21">
        <v>2533.29</v>
      </c>
      <c r="G592" s="21">
        <v>1678.72</v>
      </c>
      <c r="H592" s="21">
        <v>1707.0681157024794</v>
      </c>
      <c r="I592" s="21">
        <v>1719.2520454545452</v>
      </c>
      <c r="J592" s="21">
        <v>2061.6428719008263</v>
      </c>
      <c r="K592" s="10"/>
    </row>
    <row r="593" spans="1:11" ht="25.5" x14ac:dyDescent="0.2">
      <c r="A593" s="220" t="s">
        <v>1541</v>
      </c>
      <c r="B593" s="224" t="s">
        <v>1914</v>
      </c>
      <c r="C593" s="20" t="s">
        <v>622</v>
      </c>
      <c r="D593" s="136" t="s">
        <v>577</v>
      </c>
      <c r="E593" s="12" t="s">
        <v>301</v>
      </c>
      <c r="F593" s="70">
        <v>4</v>
      </c>
      <c r="G593" s="70">
        <v>7</v>
      </c>
      <c r="H593" s="70">
        <v>7</v>
      </c>
      <c r="I593" s="70">
        <v>7</v>
      </c>
      <c r="J593" s="70">
        <v>7</v>
      </c>
      <c r="K593" s="10"/>
    </row>
    <row r="594" spans="1:11" ht="15.75" x14ac:dyDescent="0.2">
      <c r="A594" s="221"/>
      <c r="B594" s="225"/>
      <c r="C594" s="13" t="s">
        <v>578</v>
      </c>
      <c r="D594" s="136" t="s">
        <v>579</v>
      </c>
      <c r="E594" s="14" t="s">
        <v>303</v>
      </c>
      <c r="F594" s="21">
        <v>465.01348285714295</v>
      </c>
      <c r="G594" s="21">
        <v>437.48</v>
      </c>
      <c r="H594" s="21">
        <v>465.82811570247935</v>
      </c>
      <c r="I594" s="21">
        <v>478.0120454545455</v>
      </c>
      <c r="J594" s="21">
        <v>820.40287190082654</v>
      </c>
      <c r="K594" s="10"/>
    </row>
    <row r="595" spans="1:11" ht="25.5" x14ac:dyDescent="0.2">
      <c r="A595" s="220" t="s">
        <v>1542</v>
      </c>
      <c r="B595" s="224" t="s">
        <v>1915</v>
      </c>
      <c r="C595" s="20" t="s">
        <v>623</v>
      </c>
      <c r="D595" s="136" t="s">
        <v>577</v>
      </c>
      <c r="E595" s="12" t="s">
        <v>301</v>
      </c>
      <c r="F595" s="70">
        <v>124</v>
      </c>
      <c r="G595" s="70">
        <v>123</v>
      </c>
      <c r="H595" s="70">
        <v>123</v>
      </c>
      <c r="I595" s="70">
        <v>123</v>
      </c>
      <c r="J595" s="70">
        <v>123</v>
      </c>
      <c r="K595" s="10"/>
    </row>
    <row r="596" spans="1:11" ht="15.75" x14ac:dyDescent="0.2">
      <c r="A596" s="221"/>
      <c r="B596" s="225"/>
      <c r="C596" s="13" t="s">
        <v>578</v>
      </c>
      <c r="D596" s="136" t="s">
        <v>579</v>
      </c>
      <c r="E596" s="14" t="s">
        <v>303</v>
      </c>
      <c r="F596" s="21">
        <v>2082.56</v>
      </c>
      <c r="G596" s="21">
        <v>4192.84</v>
      </c>
      <c r="H596" s="21">
        <v>4221.1881157024791</v>
      </c>
      <c r="I596" s="21">
        <v>4233.3720454545455</v>
      </c>
      <c r="J596" s="21">
        <v>4575.7628719008262</v>
      </c>
      <c r="K596" s="10"/>
    </row>
    <row r="597" spans="1:11" ht="25.5" x14ac:dyDescent="0.2">
      <c r="A597" s="220" t="s">
        <v>1543</v>
      </c>
      <c r="B597" s="224" t="s">
        <v>1917</v>
      </c>
      <c r="C597" s="20" t="s">
        <v>624</v>
      </c>
      <c r="D597" s="136" t="s">
        <v>577</v>
      </c>
      <c r="E597" s="12" t="s">
        <v>301</v>
      </c>
      <c r="F597" s="70">
        <v>251</v>
      </c>
      <c r="G597" s="70">
        <v>251</v>
      </c>
      <c r="H597" s="70">
        <v>251</v>
      </c>
      <c r="I597" s="70">
        <v>251</v>
      </c>
      <c r="J597" s="70">
        <v>251</v>
      </c>
      <c r="K597" s="10"/>
    </row>
    <row r="598" spans="1:11" ht="15.75" x14ac:dyDescent="0.2">
      <c r="A598" s="221"/>
      <c r="B598" s="225"/>
      <c r="C598" s="13" t="s">
        <v>578</v>
      </c>
      <c r="D598" s="136" t="s">
        <v>579</v>
      </c>
      <c r="E598" s="14" t="s">
        <v>303</v>
      </c>
      <c r="F598" s="21">
        <v>2718.74</v>
      </c>
      <c r="G598" s="21">
        <v>2080.4499999999998</v>
      </c>
      <c r="H598" s="21">
        <v>2108.7981157024792</v>
      </c>
      <c r="I598" s="21">
        <v>2120.9820454545456</v>
      </c>
      <c r="J598" s="21">
        <v>2463.3728719008268</v>
      </c>
      <c r="K598" s="10"/>
    </row>
    <row r="599" spans="1:11" ht="25.5" x14ac:dyDescent="0.2">
      <c r="A599" s="220" t="s">
        <v>1544</v>
      </c>
      <c r="B599" s="224" t="s">
        <v>1918</v>
      </c>
      <c r="C599" s="20" t="s">
        <v>625</v>
      </c>
      <c r="D599" s="136" t="s">
        <v>577</v>
      </c>
      <c r="E599" s="12" t="s">
        <v>301</v>
      </c>
      <c r="F599" s="70">
        <v>136</v>
      </c>
      <c r="G599" s="70">
        <v>156</v>
      </c>
      <c r="H599" s="70">
        <v>156</v>
      </c>
      <c r="I599" s="70">
        <v>156</v>
      </c>
      <c r="J599" s="70">
        <v>156</v>
      </c>
      <c r="K599" s="10"/>
    </row>
    <row r="600" spans="1:11" ht="15.75" x14ac:dyDescent="0.2">
      <c r="A600" s="221"/>
      <c r="B600" s="225"/>
      <c r="C600" s="13" t="s">
        <v>578</v>
      </c>
      <c r="D600" s="136" t="s">
        <v>579</v>
      </c>
      <c r="E600" s="14" t="s">
        <v>303</v>
      </c>
      <c r="F600" s="21">
        <v>7077.43</v>
      </c>
      <c r="G600" s="21">
        <v>6178.61</v>
      </c>
      <c r="H600" s="21">
        <v>6206.9581157024786</v>
      </c>
      <c r="I600" s="21">
        <v>6219.142045454545</v>
      </c>
      <c r="J600" s="21">
        <v>6561.5328719008257</v>
      </c>
      <c r="K600" s="10"/>
    </row>
    <row r="601" spans="1:11" ht="25.5" x14ac:dyDescent="0.2">
      <c r="A601" s="220" t="s">
        <v>1545</v>
      </c>
      <c r="B601" s="224" t="s">
        <v>1919</v>
      </c>
      <c r="C601" s="20" t="s">
        <v>626</v>
      </c>
      <c r="D601" s="136" t="s">
        <v>577</v>
      </c>
      <c r="E601" s="12" t="s">
        <v>301</v>
      </c>
      <c r="F601" s="70">
        <v>169</v>
      </c>
      <c r="G601" s="70">
        <v>174</v>
      </c>
      <c r="H601" s="70">
        <v>174</v>
      </c>
      <c r="I601" s="70">
        <v>174</v>
      </c>
      <c r="J601" s="70">
        <v>174</v>
      </c>
      <c r="K601" s="10"/>
    </row>
    <row r="602" spans="1:11" ht="15.75" x14ac:dyDescent="0.2">
      <c r="A602" s="221"/>
      <c r="B602" s="225"/>
      <c r="C602" s="13" t="s">
        <v>578</v>
      </c>
      <c r="D602" s="136" t="s">
        <v>579</v>
      </c>
      <c r="E602" s="14" t="s">
        <v>303</v>
      </c>
      <c r="F602" s="21">
        <v>3336</v>
      </c>
      <c r="G602" s="21">
        <v>1689.49</v>
      </c>
      <c r="H602" s="21">
        <v>1717.8381157024794</v>
      </c>
      <c r="I602" s="21">
        <v>1730.0220454545452</v>
      </c>
      <c r="J602" s="21">
        <v>2072.4128719008263</v>
      </c>
      <c r="K602" s="10"/>
    </row>
    <row r="603" spans="1:11" ht="25.5" x14ac:dyDescent="0.2">
      <c r="A603" s="220" t="s">
        <v>1546</v>
      </c>
      <c r="B603" s="224" t="s">
        <v>1920</v>
      </c>
      <c r="C603" s="20" t="s">
        <v>627</v>
      </c>
      <c r="D603" s="136" t="s">
        <v>577</v>
      </c>
      <c r="E603" s="12" t="s">
        <v>301</v>
      </c>
      <c r="F603" s="70">
        <v>3</v>
      </c>
      <c r="G603" s="70">
        <v>3</v>
      </c>
      <c r="H603" s="70">
        <v>3</v>
      </c>
      <c r="I603" s="70">
        <v>3</v>
      </c>
      <c r="J603" s="70">
        <v>3</v>
      </c>
      <c r="K603" s="10"/>
    </row>
    <row r="604" spans="1:11" ht="15.75" x14ac:dyDescent="0.2">
      <c r="A604" s="221"/>
      <c r="B604" s="225"/>
      <c r="C604" s="13" t="s">
        <v>578</v>
      </c>
      <c r="D604" s="136" t="s">
        <v>579</v>
      </c>
      <c r="E604" s="14" t="s">
        <v>303</v>
      </c>
      <c r="F604" s="21">
        <v>1020.6743999999999</v>
      </c>
      <c r="G604" s="21">
        <v>523.12699999999995</v>
      </c>
      <c r="H604" s="21">
        <v>551.47511570247923</v>
      </c>
      <c r="I604" s="21">
        <v>563.65904545454532</v>
      </c>
      <c r="J604" s="21">
        <v>906.04987190082625</v>
      </c>
      <c r="K604" s="10"/>
    </row>
    <row r="605" spans="1:11" ht="25.5" x14ac:dyDescent="0.2">
      <c r="A605" s="220" t="s">
        <v>1547</v>
      </c>
      <c r="B605" s="224" t="s">
        <v>1921</v>
      </c>
      <c r="C605" s="20" t="s">
        <v>628</v>
      </c>
      <c r="D605" s="136" t="s">
        <v>577</v>
      </c>
      <c r="E605" s="12" t="s">
        <v>301</v>
      </c>
      <c r="F605" s="70">
        <v>5</v>
      </c>
      <c r="G605" s="70">
        <v>5</v>
      </c>
      <c r="H605" s="70">
        <v>5</v>
      </c>
      <c r="I605" s="70">
        <v>5</v>
      </c>
      <c r="J605" s="70">
        <v>5</v>
      </c>
      <c r="K605" s="10"/>
    </row>
    <row r="606" spans="1:11" ht="15.75" x14ac:dyDescent="0.2">
      <c r="A606" s="221"/>
      <c r="B606" s="225"/>
      <c r="C606" s="13" t="s">
        <v>578</v>
      </c>
      <c r="D606" s="136" t="s">
        <v>579</v>
      </c>
      <c r="E606" s="14" t="s">
        <v>303</v>
      </c>
      <c r="F606" s="21">
        <v>1245.7239999999999</v>
      </c>
      <c r="G606" s="21">
        <v>476.58300000000003</v>
      </c>
      <c r="H606" s="21">
        <v>504.93111570247936</v>
      </c>
      <c r="I606" s="21">
        <v>517.11504545454545</v>
      </c>
      <c r="J606" s="21">
        <v>859.50587190082638</v>
      </c>
      <c r="K606" s="10"/>
    </row>
    <row r="607" spans="1:11" ht="25.5" x14ac:dyDescent="0.2">
      <c r="A607" s="220" t="s">
        <v>1548</v>
      </c>
      <c r="B607" s="224" t="s">
        <v>1922</v>
      </c>
      <c r="C607" s="20" t="s">
        <v>629</v>
      </c>
      <c r="D607" s="136" t="s">
        <v>577</v>
      </c>
      <c r="E607" s="12" t="s">
        <v>301</v>
      </c>
      <c r="F607" s="70">
        <v>71</v>
      </c>
      <c r="G607" s="70">
        <v>51</v>
      </c>
      <c r="H607" s="70">
        <v>51</v>
      </c>
      <c r="I607" s="70">
        <v>51</v>
      </c>
      <c r="J607" s="70">
        <v>51</v>
      </c>
      <c r="K607" s="10"/>
    </row>
    <row r="608" spans="1:11" ht="15.75" x14ac:dyDescent="0.2">
      <c r="A608" s="221"/>
      <c r="B608" s="225"/>
      <c r="C608" s="13" t="s">
        <v>578</v>
      </c>
      <c r="D608" s="136" t="s">
        <v>579</v>
      </c>
      <c r="E608" s="14" t="s">
        <v>303</v>
      </c>
      <c r="F608" s="21">
        <v>1284.1887304347824</v>
      </c>
      <c r="G608" s="21">
        <v>3595.1019999999999</v>
      </c>
      <c r="H608" s="21">
        <v>3623.4501157024793</v>
      </c>
      <c r="I608" s="21">
        <v>3635.6340454545457</v>
      </c>
      <c r="J608" s="21">
        <v>3978.0248719008268</v>
      </c>
      <c r="K608" s="10"/>
    </row>
    <row r="609" spans="1:11" ht="25.5" x14ac:dyDescent="0.2">
      <c r="A609" s="220" t="s">
        <v>1549</v>
      </c>
      <c r="B609" s="224" t="s">
        <v>1923</v>
      </c>
      <c r="C609" s="20" t="s">
        <v>630</v>
      </c>
      <c r="D609" s="136" t="s">
        <v>577</v>
      </c>
      <c r="E609" s="12" t="s">
        <v>301</v>
      </c>
      <c r="F609" s="70">
        <v>215</v>
      </c>
      <c r="G609" s="70">
        <v>209</v>
      </c>
      <c r="H609" s="70">
        <v>209</v>
      </c>
      <c r="I609" s="70">
        <v>209</v>
      </c>
      <c r="J609" s="70">
        <v>209</v>
      </c>
      <c r="K609" s="10"/>
    </row>
    <row r="610" spans="1:11" ht="15.75" x14ac:dyDescent="0.2">
      <c r="A610" s="221"/>
      <c r="B610" s="225"/>
      <c r="C610" s="13" t="s">
        <v>578</v>
      </c>
      <c r="D610" s="136" t="s">
        <v>579</v>
      </c>
      <c r="E610" s="14" t="s">
        <v>303</v>
      </c>
      <c r="F610" s="21">
        <v>2453.2981111111108</v>
      </c>
      <c r="G610" s="21">
        <v>2643.7660000000001</v>
      </c>
      <c r="H610" s="21">
        <v>2672.1141157024795</v>
      </c>
      <c r="I610" s="21">
        <v>2684.2980454545459</v>
      </c>
      <c r="J610" s="21">
        <v>3026.6888719008271</v>
      </c>
      <c r="K610" s="10"/>
    </row>
    <row r="611" spans="1:11" ht="25.5" x14ac:dyDescent="0.2">
      <c r="A611" s="220" t="s">
        <v>1550</v>
      </c>
      <c r="B611" s="224" t="s">
        <v>1924</v>
      </c>
      <c r="C611" s="20" t="s">
        <v>631</v>
      </c>
      <c r="D611" s="136" t="s">
        <v>577</v>
      </c>
      <c r="E611" s="12" t="s">
        <v>301</v>
      </c>
      <c r="F611" s="70">
        <v>8</v>
      </c>
      <c r="G611" s="70">
        <v>8</v>
      </c>
      <c r="H611" s="70">
        <v>8</v>
      </c>
      <c r="I611" s="70">
        <v>8</v>
      </c>
      <c r="J611" s="70">
        <v>8</v>
      </c>
      <c r="K611" s="10"/>
    </row>
    <row r="612" spans="1:11" ht="15.75" x14ac:dyDescent="0.2">
      <c r="A612" s="221"/>
      <c r="B612" s="225"/>
      <c r="C612" s="13" t="s">
        <v>578</v>
      </c>
      <c r="D612" s="136" t="s">
        <v>579</v>
      </c>
      <c r="E612" s="14" t="s">
        <v>303</v>
      </c>
      <c r="F612" s="21">
        <v>4239.7699999999995</v>
      </c>
      <c r="G612" s="21">
        <v>6002.72</v>
      </c>
      <c r="H612" s="21">
        <v>6031.0681157024792</v>
      </c>
      <c r="I612" s="21">
        <v>6043.2520454545456</v>
      </c>
      <c r="J612" s="21">
        <v>6385.6428719008263</v>
      </c>
      <c r="K612" s="10"/>
    </row>
    <row r="613" spans="1:11" ht="25.5" x14ac:dyDescent="0.2">
      <c r="A613" s="220" t="s">
        <v>1551</v>
      </c>
      <c r="B613" s="224" t="s">
        <v>1925</v>
      </c>
      <c r="C613" s="20" t="s">
        <v>632</v>
      </c>
      <c r="D613" s="136" t="s">
        <v>577</v>
      </c>
      <c r="E613" s="12" t="s">
        <v>301</v>
      </c>
      <c r="F613" s="70">
        <v>15</v>
      </c>
      <c r="G613" s="70">
        <v>17</v>
      </c>
      <c r="H613" s="70">
        <v>17</v>
      </c>
      <c r="I613" s="70">
        <v>17</v>
      </c>
      <c r="J613" s="70">
        <v>17</v>
      </c>
      <c r="K613" s="10"/>
    </row>
    <row r="614" spans="1:11" ht="15.75" x14ac:dyDescent="0.2">
      <c r="A614" s="221"/>
      <c r="B614" s="225"/>
      <c r="C614" s="13" t="s">
        <v>578</v>
      </c>
      <c r="D614" s="136" t="s">
        <v>579</v>
      </c>
      <c r="E614" s="14" t="s">
        <v>303</v>
      </c>
      <c r="F614" s="21">
        <v>7665.54</v>
      </c>
      <c r="G614" s="21">
        <v>2449.35</v>
      </c>
      <c r="H614" s="21">
        <v>2477.6981157024793</v>
      </c>
      <c r="I614" s="21">
        <v>2489.8820454545457</v>
      </c>
      <c r="J614" s="21">
        <v>2832.2728719008269</v>
      </c>
      <c r="K614" s="10"/>
    </row>
    <row r="615" spans="1:11" ht="25.5" x14ac:dyDescent="0.2">
      <c r="A615" s="220" t="s">
        <v>1552</v>
      </c>
      <c r="B615" s="224" t="s">
        <v>1926</v>
      </c>
      <c r="C615" s="20" t="s">
        <v>633</v>
      </c>
      <c r="D615" s="136" t="s">
        <v>577</v>
      </c>
      <c r="E615" s="12" t="s">
        <v>301</v>
      </c>
      <c r="F615" s="70">
        <v>131</v>
      </c>
      <c r="G615" s="70">
        <v>168</v>
      </c>
      <c r="H615" s="70">
        <v>168</v>
      </c>
      <c r="I615" s="70">
        <v>168</v>
      </c>
      <c r="J615" s="70">
        <v>168</v>
      </c>
      <c r="K615" s="10"/>
    </row>
    <row r="616" spans="1:11" ht="15.75" x14ac:dyDescent="0.2">
      <c r="A616" s="221"/>
      <c r="B616" s="225"/>
      <c r="C616" s="13" t="s">
        <v>578</v>
      </c>
      <c r="D616" s="136" t="s">
        <v>579</v>
      </c>
      <c r="E616" s="14" t="s">
        <v>303</v>
      </c>
      <c r="F616" s="21">
        <v>8328.1</v>
      </c>
      <c r="G616" s="21">
        <v>6716.99</v>
      </c>
      <c r="H616" s="21">
        <v>6745.3381157024787</v>
      </c>
      <c r="I616" s="21">
        <v>6757.5220454545452</v>
      </c>
      <c r="J616" s="21">
        <v>7099.9128719008258</v>
      </c>
      <c r="K616" s="10"/>
    </row>
    <row r="617" spans="1:11" ht="25.5" x14ac:dyDescent="0.2">
      <c r="A617" s="220" t="s">
        <v>1553</v>
      </c>
      <c r="B617" s="224" t="s">
        <v>1927</v>
      </c>
      <c r="C617" s="20" t="s">
        <v>634</v>
      </c>
      <c r="D617" s="136" t="s">
        <v>577</v>
      </c>
      <c r="E617" s="12" t="s">
        <v>301</v>
      </c>
      <c r="F617" s="70">
        <v>205</v>
      </c>
      <c r="G617" s="70">
        <v>219</v>
      </c>
      <c r="H617" s="70">
        <v>219</v>
      </c>
      <c r="I617" s="70">
        <v>219</v>
      </c>
      <c r="J617" s="70">
        <v>219</v>
      </c>
      <c r="K617" s="10"/>
    </row>
    <row r="618" spans="1:11" ht="15.75" x14ac:dyDescent="0.2">
      <c r="A618" s="221"/>
      <c r="B618" s="225"/>
      <c r="C618" s="13" t="s">
        <v>578</v>
      </c>
      <c r="D618" s="136" t="s">
        <v>579</v>
      </c>
      <c r="E618" s="14" t="s">
        <v>303</v>
      </c>
      <c r="F618" s="21">
        <v>7040.52</v>
      </c>
      <c r="G618" s="21">
        <v>3298.79</v>
      </c>
      <c r="H618" s="21">
        <v>3327.1381157024794</v>
      </c>
      <c r="I618" s="21">
        <v>3339.3220454545458</v>
      </c>
      <c r="J618" s="21">
        <v>3681.7128719008269</v>
      </c>
      <c r="K618" s="10"/>
    </row>
    <row r="619" spans="1:11" ht="25.5" x14ac:dyDescent="0.2">
      <c r="A619" s="220" t="s">
        <v>1554</v>
      </c>
      <c r="B619" s="224" t="s">
        <v>1928</v>
      </c>
      <c r="C619" s="20" t="s">
        <v>635</v>
      </c>
      <c r="D619" s="136" t="s">
        <v>577</v>
      </c>
      <c r="E619" s="12" t="s">
        <v>301</v>
      </c>
      <c r="F619" s="70">
        <v>15</v>
      </c>
      <c r="G619" s="70">
        <v>15</v>
      </c>
      <c r="H619" s="70">
        <v>15</v>
      </c>
      <c r="I619" s="70">
        <v>15</v>
      </c>
      <c r="J619" s="70">
        <v>15</v>
      </c>
      <c r="K619" s="10"/>
    </row>
    <row r="620" spans="1:11" ht="15.75" x14ac:dyDescent="0.2">
      <c r="A620" s="221"/>
      <c r="B620" s="225"/>
      <c r="C620" s="13" t="s">
        <v>578</v>
      </c>
      <c r="D620" s="136" t="s">
        <v>579</v>
      </c>
      <c r="E620" s="14" t="s">
        <v>303</v>
      </c>
      <c r="F620" s="21">
        <v>948.90000000000009</v>
      </c>
      <c r="G620" s="21">
        <v>791.41399999999999</v>
      </c>
      <c r="H620" s="21">
        <v>819.76211570247926</v>
      </c>
      <c r="I620" s="21">
        <v>831.94604545454536</v>
      </c>
      <c r="J620" s="21">
        <v>1174.3368719008263</v>
      </c>
      <c r="K620" s="10"/>
    </row>
    <row r="621" spans="1:11" ht="25.5" x14ac:dyDescent="0.2">
      <c r="A621" s="220" t="s">
        <v>1555</v>
      </c>
      <c r="B621" s="224" t="s">
        <v>1929</v>
      </c>
      <c r="C621" s="20" t="s">
        <v>636</v>
      </c>
      <c r="D621" s="136" t="s">
        <v>577</v>
      </c>
      <c r="E621" s="12" t="s">
        <v>301</v>
      </c>
      <c r="F621" s="70">
        <v>49</v>
      </c>
      <c r="G621" s="70">
        <v>48</v>
      </c>
      <c r="H621" s="70">
        <v>48</v>
      </c>
      <c r="I621" s="70">
        <v>48</v>
      </c>
      <c r="J621" s="70">
        <v>48</v>
      </c>
      <c r="K621" s="10"/>
    </row>
    <row r="622" spans="1:11" ht="15.75" x14ac:dyDescent="0.2">
      <c r="A622" s="221"/>
      <c r="B622" s="225"/>
      <c r="C622" s="13" t="s">
        <v>578</v>
      </c>
      <c r="D622" s="136" t="s">
        <v>579</v>
      </c>
      <c r="E622" s="14" t="s">
        <v>303</v>
      </c>
      <c r="F622" s="21">
        <v>968.29</v>
      </c>
      <c r="G622" s="21">
        <v>790.41200000000003</v>
      </c>
      <c r="H622" s="21">
        <v>818.76011570247931</v>
      </c>
      <c r="I622" s="21">
        <v>830.9440454545454</v>
      </c>
      <c r="J622" s="21">
        <v>1173.3348719008263</v>
      </c>
      <c r="K622" s="10"/>
    </row>
    <row r="623" spans="1:11" ht="25.5" x14ac:dyDescent="0.2">
      <c r="A623" s="220" t="s">
        <v>1556</v>
      </c>
      <c r="B623" s="224" t="s">
        <v>1930</v>
      </c>
      <c r="C623" s="20" t="s">
        <v>637</v>
      </c>
      <c r="D623" s="136" t="s">
        <v>577</v>
      </c>
      <c r="E623" s="12" t="s">
        <v>301</v>
      </c>
      <c r="F623" s="70">
        <v>90</v>
      </c>
      <c r="G623" s="70">
        <v>99</v>
      </c>
      <c r="H623" s="70">
        <v>99</v>
      </c>
      <c r="I623" s="70">
        <v>99</v>
      </c>
      <c r="J623" s="70">
        <v>99</v>
      </c>
      <c r="K623" s="10"/>
    </row>
    <row r="624" spans="1:11" ht="15.75" x14ac:dyDescent="0.2">
      <c r="A624" s="221"/>
      <c r="B624" s="225"/>
      <c r="C624" s="13" t="s">
        <v>578</v>
      </c>
      <c r="D624" s="136" t="s">
        <v>579</v>
      </c>
      <c r="E624" s="14" t="s">
        <v>303</v>
      </c>
      <c r="F624" s="21">
        <v>3539.46</v>
      </c>
      <c r="G624" s="21">
        <v>5943.98</v>
      </c>
      <c r="H624" s="21">
        <v>5972.3281157024785</v>
      </c>
      <c r="I624" s="21">
        <v>5984.5120454545449</v>
      </c>
      <c r="J624" s="21">
        <v>6326.9028719008256</v>
      </c>
      <c r="K624" s="10"/>
    </row>
    <row r="625" spans="1:11" ht="25.5" x14ac:dyDescent="0.2">
      <c r="A625" s="220" t="s">
        <v>1557</v>
      </c>
      <c r="B625" s="224" t="s">
        <v>1931</v>
      </c>
      <c r="C625" s="20" t="s">
        <v>638</v>
      </c>
      <c r="D625" s="136" t="s">
        <v>577</v>
      </c>
      <c r="E625" s="12" t="s">
        <v>301</v>
      </c>
      <c r="F625" s="70">
        <v>145</v>
      </c>
      <c r="G625" s="70">
        <v>161</v>
      </c>
      <c r="H625" s="70">
        <v>161</v>
      </c>
      <c r="I625" s="70">
        <v>161</v>
      </c>
      <c r="J625" s="70">
        <v>161</v>
      </c>
      <c r="K625" s="10"/>
    </row>
    <row r="626" spans="1:11" ht="15.75" x14ac:dyDescent="0.2">
      <c r="A626" s="221"/>
      <c r="B626" s="225"/>
      <c r="C626" s="13" t="s">
        <v>578</v>
      </c>
      <c r="D626" s="136" t="s">
        <v>579</v>
      </c>
      <c r="E626" s="14" t="s">
        <v>303</v>
      </c>
      <c r="F626" s="21">
        <v>3315.66</v>
      </c>
      <c r="G626" s="21">
        <v>3182.92</v>
      </c>
      <c r="H626" s="21">
        <v>3211.2681157024795</v>
      </c>
      <c r="I626" s="21">
        <v>3223.4520454545459</v>
      </c>
      <c r="J626" s="21">
        <v>3565.842871900827</v>
      </c>
      <c r="K626" s="10"/>
    </row>
    <row r="627" spans="1:11" ht="25.5" x14ac:dyDescent="0.2">
      <c r="A627" s="220" t="s">
        <v>1558</v>
      </c>
      <c r="B627" s="224" t="s">
        <v>1932</v>
      </c>
      <c r="C627" s="20" t="s">
        <v>639</v>
      </c>
      <c r="D627" s="136" t="s">
        <v>577</v>
      </c>
      <c r="E627" s="12" t="s">
        <v>301</v>
      </c>
      <c r="F627" s="70">
        <v>9</v>
      </c>
      <c r="G627" s="70">
        <v>9</v>
      </c>
      <c r="H627" s="70">
        <v>9</v>
      </c>
      <c r="I627" s="70">
        <v>9</v>
      </c>
      <c r="J627" s="70">
        <v>9</v>
      </c>
      <c r="K627" s="10"/>
    </row>
    <row r="628" spans="1:11" ht="15.75" x14ac:dyDescent="0.2">
      <c r="A628" s="221"/>
      <c r="B628" s="225"/>
      <c r="C628" s="13" t="s">
        <v>578</v>
      </c>
      <c r="D628" s="136" t="s">
        <v>579</v>
      </c>
      <c r="E628" s="14" t="s">
        <v>303</v>
      </c>
      <c r="F628" s="21">
        <v>551.35124999999994</v>
      </c>
      <c r="G628" s="21">
        <v>460.38200000000001</v>
      </c>
      <c r="H628" s="21">
        <v>488.73011570247934</v>
      </c>
      <c r="I628" s="21">
        <v>500.91404545454549</v>
      </c>
      <c r="J628" s="21">
        <v>843.30487190082647</v>
      </c>
      <c r="K628" s="10"/>
    </row>
    <row r="629" spans="1:11" ht="25.5" x14ac:dyDescent="0.2">
      <c r="A629" s="220" t="s">
        <v>1559</v>
      </c>
      <c r="B629" s="224" t="s">
        <v>1933</v>
      </c>
      <c r="C629" s="20" t="s">
        <v>640</v>
      </c>
      <c r="D629" s="136" t="s">
        <v>577</v>
      </c>
      <c r="E629" s="12" t="s">
        <v>301</v>
      </c>
      <c r="F629" s="70">
        <v>10</v>
      </c>
      <c r="G629" s="70">
        <v>10</v>
      </c>
      <c r="H629" s="70">
        <v>10</v>
      </c>
      <c r="I629" s="70">
        <v>10</v>
      </c>
      <c r="J629" s="70">
        <v>10</v>
      </c>
      <c r="K629" s="10"/>
    </row>
    <row r="630" spans="1:11" ht="15.75" x14ac:dyDescent="0.2">
      <c r="A630" s="221"/>
      <c r="B630" s="225"/>
      <c r="C630" s="13" t="s">
        <v>578</v>
      </c>
      <c r="D630" s="136" t="s">
        <v>579</v>
      </c>
      <c r="E630" s="14" t="s">
        <v>303</v>
      </c>
      <c r="F630" s="21">
        <v>476.19</v>
      </c>
      <c r="G630" s="21">
        <v>37.802999999999997</v>
      </c>
      <c r="H630" s="21">
        <v>66.151115702479331</v>
      </c>
      <c r="I630" s="21">
        <v>78.335045454545451</v>
      </c>
      <c r="J630" s="21">
        <v>420.72587190082641</v>
      </c>
      <c r="K630" s="10"/>
    </row>
    <row r="631" spans="1:11" ht="25.5" x14ac:dyDescent="0.2">
      <c r="A631" s="220" t="s">
        <v>1560</v>
      </c>
      <c r="B631" s="224" t="s">
        <v>1934</v>
      </c>
      <c r="C631" s="20" t="s">
        <v>641</v>
      </c>
      <c r="D631" s="136" t="s">
        <v>577</v>
      </c>
      <c r="E631" s="12" t="s">
        <v>301</v>
      </c>
      <c r="F631" s="70">
        <v>6</v>
      </c>
      <c r="G631" s="70">
        <v>6</v>
      </c>
      <c r="H631" s="70">
        <v>6</v>
      </c>
      <c r="I631" s="70">
        <v>6</v>
      </c>
      <c r="J631" s="70">
        <v>6</v>
      </c>
      <c r="K631" s="10"/>
    </row>
    <row r="632" spans="1:11" ht="15.75" x14ac:dyDescent="0.2">
      <c r="A632" s="221"/>
      <c r="B632" s="225"/>
      <c r="C632" s="13" t="s">
        <v>578</v>
      </c>
      <c r="D632" s="136" t="s">
        <v>579</v>
      </c>
      <c r="E632" s="14" t="s">
        <v>303</v>
      </c>
      <c r="F632" s="21">
        <v>4045.25</v>
      </c>
      <c r="G632" s="21">
        <v>5095.08</v>
      </c>
      <c r="H632" s="21">
        <v>5123.4281157024789</v>
      </c>
      <c r="I632" s="21">
        <v>5135.6120454545453</v>
      </c>
      <c r="J632" s="21">
        <v>5478.002871900826</v>
      </c>
      <c r="K632" s="10"/>
    </row>
    <row r="633" spans="1:11" ht="25.5" x14ac:dyDescent="0.2">
      <c r="A633" s="220" t="s">
        <v>1561</v>
      </c>
      <c r="B633" s="224" t="s">
        <v>1935</v>
      </c>
      <c r="C633" s="20" t="s">
        <v>642</v>
      </c>
      <c r="D633" s="136" t="s">
        <v>577</v>
      </c>
      <c r="E633" s="12" t="s">
        <v>301</v>
      </c>
      <c r="F633" s="70">
        <v>13</v>
      </c>
      <c r="G633" s="70">
        <v>15</v>
      </c>
      <c r="H633" s="70">
        <v>15</v>
      </c>
      <c r="I633" s="70">
        <v>15</v>
      </c>
      <c r="J633" s="70">
        <v>15</v>
      </c>
      <c r="K633" s="10"/>
    </row>
    <row r="634" spans="1:11" ht="15.75" x14ac:dyDescent="0.2">
      <c r="A634" s="221"/>
      <c r="B634" s="225"/>
      <c r="C634" s="13" t="s">
        <v>578</v>
      </c>
      <c r="D634" s="136" t="s">
        <v>579</v>
      </c>
      <c r="E634" s="14" t="s">
        <v>303</v>
      </c>
      <c r="F634" s="21">
        <v>2175.8966666666665</v>
      </c>
      <c r="G634" s="21">
        <v>4635.41</v>
      </c>
      <c r="H634" s="21">
        <v>4663.7581157024788</v>
      </c>
      <c r="I634" s="21">
        <v>4675.9420454545452</v>
      </c>
      <c r="J634" s="21">
        <v>5018.3328719008259</v>
      </c>
      <c r="K634" s="10"/>
    </row>
    <row r="635" spans="1:11" ht="25.5" x14ac:dyDescent="0.2">
      <c r="A635" s="220" t="s">
        <v>1562</v>
      </c>
      <c r="B635" s="224" t="s">
        <v>1936</v>
      </c>
      <c r="C635" s="20" t="s">
        <v>643</v>
      </c>
      <c r="D635" s="136" t="s">
        <v>577</v>
      </c>
      <c r="E635" s="12" t="s">
        <v>301</v>
      </c>
      <c r="F635" s="70">
        <v>15</v>
      </c>
      <c r="G635" s="70">
        <v>15</v>
      </c>
      <c r="H635" s="70">
        <v>15</v>
      </c>
      <c r="I635" s="70">
        <v>15</v>
      </c>
      <c r="J635" s="70">
        <v>15</v>
      </c>
      <c r="K635" s="10"/>
    </row>
    <row r="636" spans="1:11" ht="15.75" x14ac:dyDescent="0.2">
      <c r="A636" s="221"/>
      <c r="B636" s="225"/>
      <c r="C636" s="13" t="s">
        <v>578</v>
      </c>
      <c r="D636" s="136" t="s">
        <v>579</v>
      </c>
      <c r="E636" s="14" t="s">
        <v>303</v>
      </c>
      <c r="F636" s="21">
        <v>2517.703125</v>
      </c>
      <c r="G636" s="21">
        <v>1777.96</v>
      </c>
      <c r="H636" s="21">
        <v>1806.3081157024794</v>
      </c>
      <c r="I636" s="21">
        <v>1818.4920454545454</v>
      </c>
      <c r="J636" s="21">
        <v>2160.8828719008266</v>
      </c>
      <c r="K636" s="10"/>
    </row>
    <row r="637" spans="1:11" ht="25.5" x14ac:dyDescent="0.2">
      <c r="A637" s="220" t="s">
        <v>1563</v>
      </c>
      <c r="B637" s="224" t="s">
        <v>1937</v>
      </c>
      <c r="C637" s="20" t="s">
        <v>644</v>
      </c>
      <c r="D637" s="136" t="s">
        <v>577</v>
      </c>
      <c r="E637" s="12" t="s">
        <v>301</v>
      </c>
      <c r="F637" s="70">
        <v>80</v>
      </c>
      <c r="G637" s="70">
        <v>90</v>
      </c>
      <c r="H637" s="70">
        <v>90</v>
      </c>
      <c r="I637" s="70">
        <v>90</v>
      </c>
      <c r="J637" s="70">
        <v>90</v>
      </c>
      <c r="K637" s="10"/>
    </row>
    <row r="638" spans="1:11" ht="15.75" x14ac:dyDescent="0.2">
      <c r="A638" s="221"/>
      <c r="B638" s="225"/>
      <c r="C638" s="13" t="s">
        <v>578</v>
      </c>
      <c r="D638" s="136" t="s">
        <v>579</v>
      </c>
      <c r="E638" s="14" t="s">
        <v>303</v>
      </c>
      <c r="F638" s="21">
        <v>2244.35</v>
      </c>
      <c r="G638" s="21">
        <v>3043.34</v>
      </c>
      <c r="H638" s="21">
        <v>3071.6881157024795</v>
      </c>
      <c r="I638" s="21">
        <v>3083.872045454546</v>
      </c>
      <c r="J638" s="21">
        <v>3426.2628719008271</v>
      </c>
      <c r="K638" s="10"/>
    </row>
    <row r="639" spans="1:11" ht="25.5" x14ac:dyDescent="0.2">
      <c r="A639" s="220" t="s">
        <v>1564</v>
      </c>
      <c r="B639" s="224" t="s">
        <v>1938</v>
      </c>
      <c r="C639" s="20" t="s">
        <v>645</v>
      </c>
      <c r="D639" s="136" t="s">
        <v>577</v>
      </c>
      <c r="E639" s="12" t="s">
        <v>301</v>
      </c>
      <c r="F639" s="70">
        <v>4</v>
      </c>
      <c r="G639" s="70">
        <v>4</v>
      </c>
      <c r="H639" s="70">
        <v>4</v>
      </c>
      <c r="I639" s="70">
        <v>4</v>
      </c>
      <c r="J639" s="70">
        <v>4</v>
      </c>
      <c r="K639" s="10"/>
    </row>
    <row r="640" spans="1:11" ht="15.75" x14ac:dyDescent="0.2">
      <c r="A640" s="221"/>
      <c r="B640" s="225"/>
      <c r="C640" s="13" t="s">
        <v>578</v>
      </c>
      <c r="D640" s="136" t="s">
        <v>579</v>
      </c>
      <c r="E640" s="14" t="s">
        <v>303</v>
      </c>
      <c r="F640" s="21">
        <v>1772.55</v>
      </c>
      <c r="G640" s="21">
        <v>114.03</v>
      </c>
      <c r="H640" s="21">
        <v>142.37811570247936</v>
      </c>
      <c r="I640" s="21">
        <v>154.56204545454545</v>
      </c>
      <c r="J640" s="21">
        <v>496.95287190082644</v>
      </c>
      <c r="K640" s="10"/>
    </row>
    <row r="641" spans="1:11" ht="25.5" x14ac:dyDescent="0.2">
      <c r="A641" s="220" t="s">
        <v>1565</v>
      </c>
      <c r="B641" s="224" t="s">
        <v>1939</v>
      </c>
      <c r="C641" s="20" t="s">
        <v>646</v>
      </c>
      <c r="D641" s="136" t="s">
        <v>577</v>
      </c>
      <c r="E641" s="12" t="s">
        <v>301</v>
      </c>
      <c r="F641" s="70">
        <v>8</v>
      </c>
      <c r="G641" s="70">
        <v>8</v>
      </c>
      <c r="H641" s="70">
        <v>8</v>
      </c>
      <c r="I641" s="70">
        <v>8</v>
      </c>
      <c r="J641" s="70">
        <v>8</v>
      </c>
      <c r="K641" s="10"/>
    </row>
    <row r="642" spans="1:11" ht="15.75" x14ac:dyDescent="0.2">
      <c r="A642" s="221"/>
      <c r="B642" s="225"/>
      <c r="C642" s="13" t="s">
        <v>578</v>
      </c>
      <c r="D642" s="136" t="s">
        <v>579</v>
      </c>
      <c r="E642" s="14" t="s">
        <v>303</v>
      </c>
      <c r="F642" s="21">
        <v>1772.55</v>
      </c>
      <c r="G642" s="21">
        <v>873.63</v>
      </c>
      <c r="H642" s="21">
        <v>901.97811570247927</v>
      </c>
      <c r="I642" s="21">
        <v>914.16204545454536</v>
      </c>
      <c r="J642" s="21">
        <v>1256.5528719008264</v>
      </c>
      <c r="K642" s="10"/>
    </row>
    <row r="643" spans="1:11" ht="25.5" x14ac:dyDescent="0.2">
      <c r="A643" s="220" t="s">
        <v>1566</v>
      </c>
      <c r="B643" s="224" t="s">
        <v>1940</v>
      </c>
      <c r="C643" s="20" t="s">
        <v>647</v>
      </c>
      <c r="D643" s="136" t="s">
        <v>577</v>
      </c>
      <c r="E643" s="12" t="s">
        <v>301</v>
      </c>
      <c r="F643" s="70">
        <v>10</v>
      </c>
      <c r="G643" s="70">
        <v>10</v>
      </c>
      <c r="H643" s="70">
        <v>10</v>
      </c>
      <c r="I643" s="70">
        <v>10</v>
      </c>
      <c r="J643" s="70">
        <v>10</v>
      </c>
      <c r="K643" s="10"/>
    </row>
    <row r="644" spans="1:11" ht="15.75" x14ac:dyDescent="0.2">
      <c r="A644" s="221"/>
      <c r="B644" s="225"/>
      <c r="C644" s="13" t="s">
        <v>578</v>
      </c>
      <c r="D644" s="136" t="s">
        <v>579</v>
      </c>
      <c r="E644" s="14" t="s">
        <v>303</v>
      </c>
      <c r="F644" s="21">
        <v>592.91666666666663</v>
      </c>
      <c r="G644" s="21">
        <v>358.55</v>
      </c>
      <c r="H644" s="21">
        <v>386.89811570247934</v>
      </c>
      <c r="I644" s="21">
        <v>399.08204545454549</v>
      </c>
      <c r="J644" s="21">
        <v>741.47287190082648</v>
      </c>
      <c r="K644" s="10"/>
    </row>
    <row r="645" spans="1:11" ht="25.5" x14ac:dyDescent="0.2">
      <c r="A645" s="220" t="s">
        <v>1567</v>
      </c>
      <c r="B645" s="224" t="s">
        <v>1941</v>
      </c>
      <c r="C645" s="20" t="s">
        <v>648</v>
      </c>
      <c r="D645" s="136" t="s">
        <v>577</v>
      </c>
      <c r="E645" s="12" t="s">
        <v>301</v>
      </c>
      <c r="F645" s="70">
        <v>18</v>
      </c>
      <c r="G645" s="70">
        <v>18</v>
      </c>
      <c r="H645" s="70">
        <v>18</v>
      </c>
      <c r="I645" s="70">
        <v>18</v>
      </c>
      <c r="J645" s="70">
        <v>18</v>
      </c>
      <c r="K645" s="10"/>
    </row>
    <row r="646" spans="1:11" ht="15.75" x14ac:dyDescent="0.2">
      <c r="A646" s="221"/>
      <c r="B646" s="225"/>
      <c r="C646" s="13" t="s">
        <v>578</v>
      </c>
      <c r="D646" s="136" t="s">
        <v>579</v>
      </c>
      <c r="E646" s="14" t="s">
        <v>303</v>
      </c>
      <c r="F646" s="21">
        <v>453.07659500000011</v>
      </c>
      <c r="G646" s="21">
        <v>195.35</v>
      </c>
      <c r="H646" s="21">
        <v>223.69811570247936</v>
      </c>
      <c r="I646" s="21">
        <v>235.88204545454545</v>
      </c>
      <c r="J646" s="21">
        <v>578.27287190082643</v>
      </c>
      <c r="K646" s="10"/>
    </row>
    <row r="647" spans="1:11" ht="25.5" x14ac:dyDescent="0.2">
      <c r="A647" s="220" t="s">
        <v>1568</v>
      </c>
      <c r="B647" s="224" t="s">
        <v>1942</v>
      </c>
      <c r="C647" s="20" t="s">
        <v>649</v>
      </c>
      <c r="D647" s="136" t="s">
        <v>577</v>
      </c>
      <c r="E647" s="12" t="s">
        <v>301</v>
      </c>
      <c r="F647" s="70">
        <v>20</v>
      </c>
      <c r="G647" s="70">
        <v>40</v>
      </c>
      <c r="H647" s="70">
        <v>40</v>
      </c>
      <c r="I647" s="70">
        <v>40</v>
      </c>
      <c r="J647" s="70">
        <v>40</v>
      </c>
      <c r="K647" s="10"/>
    </row>
    <row r="648" spans="1:11" ht="15.75" x14ac:dyDescent="0.2">
      <c r="A648" s="221"/>
      <c r="B648" s="225"/>
      <c r="C648" s="13" t="s">
        <v>578</v>
      </c>
      <c r="D648" s="136" t="s">
        <v>579</v>
      </c>
      <c r="E648" s="14" t="s">
        <v>303</v>
      </c>
      <c r="F648" s="21">
        <v>63.042297500000004</v>
      </c>
      <c r="G648" s="21">
        <v>186.89</v>
      </c>
      <c r="H648" s="21">
        <v>215.23811570247935</v>
      </c>
      <c r="I648" s="21">
        <v>227.42204545454544</v>
      </c>
      <c r="J648" s="21">
        <v>569.81287190082639</v>
      </c>
      <c r="K648" s="10"/>
    </row>
    <row r="649" spans="1:11" ht="25.5" x14ac:dyDescent="0.2">
      <c r="A649" s="220" t="s">
        <v>1569</v>
      </c>
      <c r="B649" s="224" t="s">
        <v>1943</v>
      </c>
      <c r="C649" s="20" t="s">
        <v>650</v>
      </c>
      <c r="D649" s="136" t="s">
        <v>577</v>
      </c>
      <c r="E649" s="12" t="s">
        <v>301</v>
      </c>
      <c r="F649" s="70">
        <v>31</v>
      </c>
      <c r="G649" s="70">
        <v>20</v>
      </c>
      <c r="H649" s="70">
        <v>20</v>
      </c>
      <c r="I649" s="70">
        <v>20</v>
      </c>
      <c r="J649" s="70">
        <v>20</v>
      </c>
      <c r="K649" s="10"/>
    </row>
    <row r="650" spans="1:11" ht="15.75" x14ac:dyDescent="0.2">
      <c r="A650" s="221"/>
      <c r="B650" s="225"/>
      <c r="C650" s="13" t="s">
        <v>578</v>
      </c>
      <c r="D650" s="136" t="s">
        <v>579</v>
      </c>
      <c r="E650" s="14" t="s">
        <v>303</v>
      </c>
      <c r="F650" s="21">
        <v>1963.03</v>
      </c>
      <c r="G650" s="21">
        <v>1182.82</v>
      </c>
      <c r="H650" s="21">
        <v>1211.1681157024793</v>
      </c>
      <c r="I650" s="21">
        <v>1223.3520454545451</v>
      </c>
      <c r="J650" s="21">
        <v>1565.742871900826</v>
      </c>
      <c r="K650" s="10"/>
    </row>
    <row r="651" spans="1:11" ht="25.5" x14ac:dyDescent="0.2">
      <c r="A651" s="220" t="s">
        <v>1570</v>
      </c>
      <c r="B651" s="224" t="s">
        <v>1944</v>
      </c>
      <c r="C651" s="20" t="s">
        <v>651</v>
      </c>
      <c r="D651" s="136" t="s">
        <v>577</v>
      </c>
      <c r="E651" s="12" t="s">
        <v>301</v>
      </c>
      <c r="F651" s="70">
        <v>74</v>
      </c>
      <c r="G651" s="70">
        <v>136</v>
      </c>
      <c r="H651" s="70">
        <v>136</v>
      </c>
      <c r="I651" s="70">
        <v>136</v>
      </c>
      <c r="J651" s="70">
        <v>136</v>
      </c>
      <c r="K651" s="10"/>
    </row>
    <row r="652" spans="1:11" ht="15.75" x14ac:dyDescent="0.2">
      <c r="A652" s="221"/>
      <c r="B652" s="225"/>
      <c r="C652" s="13" t="s">
        <v>578</v>
      </c>
      <c r="D652" s="136" t="s">
        <v>579</v>
      </c>
      <c r="E652" s="14" t="s">
        <v>303</v>
      </c>
      <c r="F652" s="21">
        <v>2222.73</v>
      </c>
      <c r="G652" s="21">
        <v>890.03</v>
      </c>
      <c r="H652" s="21">
        <v>918.37811570247925</v>
      </c>
      <c r="I652" s="21">
        <v>930.56204545454534</v>
      </c>
      <c r="J652" s="21">
        <v>1272.9528719008263</v>
      </c>
      <c r="K652" s="10"/>
    </row>
    <row r="653" spans="1:11" ht="25.5" x14ac:dyDescent="0.2">
      <c r="A653" s="220" t="s">
        <v>1571</v>
      </c>
      <c r="B653" s="224" t="s">
        <v>1945</v>
      </c>
      <c r="C653" s="20" t="s">
        <v>652</v>
      </c>
      <c r="D653" s="136" t="s">
        <v>577</v>
      </c>
      <c r="E653" s="12" t="s">
        <v>301</v>
      </c>
      <c r="F653" s="70">
        <v>31</v>
      </c>
      <c r="G653" s="70">
        <v>44</v>
      </c>
      <c r="H653" s="70">
        <v>44</v>
      </c>
      <c r="I653" s="70">
        <v>44</v>
      </c>
      <c r="J653" s="70">
        <v>44</v>
      </c>
      <c r="K653" s="10"/>
    </row>
    <row r="654" spans="1:11" ht="15.75" x14ac:dyDescent="0.2">
      <c r="A654" s="221"/>
      <c r="B654" s="225"/>
      <c r="C654" s="13" t="s">
        <v>578</v>
      </c>
      <c r="D654" s="136" t="s">
        <v>579</v>
      </c>
      <c r="E654" s="14" t="s">
        <v>303</v>
      </c>
      <c r="F654" s="21">
        <v>437.74818181818182</v>
      </c>
      <c r="G654" s="21">
        <v>1939.71</v>
      </c>
      <c r="H654" s="21">
        <v>1968.0581157024794</v>
      </c>
      <c r="I654" s="21">
        <v>1980.2420454545454</v>
      </c>
      <c r="J654" s="21">
        <v>2322.6328719008266</v>
      </c>
      <c r="K654" s="10"/>
    </row>
    <row r="655" spans="1:11" ht="25.5" x14ac:dyDescent="0.2">
      <c r="A655" s="220" t="s">
        <v>1572</v>
      </c>
      <c r="B655" s="224" t="s">
        <v>1946</v>
      </c>
      <c r="C655" s="20" t="s">
        <v>653</v>
      </c>
      <c r="D655" s="136" t="s">
        <v>577</v>
      </c>
      <c r="E655" s="12" t="s">
        <v>301</v>
      </c>
      <c r="F655" s="70">
        <v>45</v>
      </c>
      <c r="G655" s="70">
        <v>71</v>
      </c>
      <c r="H655" s="70">
        <v>71</v>
      </c>
      <c r="I655" s="70">
        <v>71</v>
      </c>
      <c r="J655" s="70">
        <v>71</v>
      </c>
      <c r="K655" s="10"/>
    </row>
    <row r="656" spans="1:11" ht="15.75" x14ac:dyDescent="0.2">
      <c r="A656" s="221"/>
      <c r="B656" s="225"/>
      <c r="C656" s="13" t="s">
        <v>578</v>
      </c>
      <c r="D656" s="136" t="s">
        <v>579</v>
      </c>
      <c r="E656" s="14" t="s">
        <v>303</v>
      </c>
      <c r="F656" s="21">
        <v>298.34100000000001</v>
      </c>
      <c r="G656" s="21">
        <v>1317.99</v>
      </c>
      <c r="H656" s="21">
        <v>1346.3381157024794</v>
      </c>
      <c r="I656" s="21">
        <v>1358.5220454545452</v>
      </c>
      <c r="J656" s="21">
        <v>1700.9128719008261</v>
      </c>
      <c r="K656" s="10"/>
    </row>
    <row r="657" spans="1:11" ht="25.5" x14ac:dyDescent="0.2">
      <c r="A657" s="220" t="s">
        <v>1573</v>
      </c>
      <c r="B657" s="224" t="s">
        <v>1947</v>
      </c>
      <c r="C657" s="20" t="s">
        <v>654</v>
      </c>
      <c r="D657" s="136" t="s">
        <v>577</v>
      </c>
      <c r="E657" s="12" t="s">
        <v>301</v>
      </c>
      <c r="F657" s="70">
        <v>8</v>
      </c>
      <c r="G657" s="70">
        <v>8</v>
      </c>
      <c r="H657" s="70">
        <v>8</v>
      </c>
      <c r="I657" s="70">
        <v>8</v>
      </c>
      <c r="J657" s="70">
        <v>8</v>
      </c>
      <c r="K657" s="10"/>
    </row>
    <row r="658" spans="1:11" ht="15.75" x14ac:dyDescent="0.2">
      <c r="A658" s="221"/>
      <c r="B658" s="225"/>
      <c r="C658" s="13" t="s">
        <v>578</v>
      </c>
      <c r="D658" s="136" t="s">
        <v>579</v>
      </c>
      <c r="E658" s="14" t="s">
        <v>303</v>
      </c>
      <c r="F658" s="21">
        <v>322.65777777777777</v>
      </c>
      <c r="G658" s="21">
        <v>764.86</v>
      </c>
      <c r="H658" s="21">
        <v>793.20811570247929</v>
      </c>
      <c r="I658" s="21">
        <v>805.39204545454538</v>
      </c>
      <c r="J658" s="21">
        <v>1147.7828719008264</v>
      </c>
      <c r="K658" s="10"/>
    </row>
    <row r="659" spans="1:11" ht="25.5" x14ac:dyDescent="0.2">
      <c r="A659" s="220" t="s">
        <v>1574</v>
      </c>
      <c r="B659" s="224" t="s">
        <v>1948</v>
      </c>
      <c r="C659" s="20" t="s">
        <v>655</v>
      </c>
      <c r="D659" s="136" t="s">
        <v>577</v>
      </c>
      <c r="E659" s="12" t="s">
        <v>301</v>
      </c>
      <c r="F659" s="70">
        <v>11</v>
      </c>
      <c r="G659" s="70">
        <v>11</v>
      </c>
      <c r="H659" s="70">
        <v>11</v>
      </c>
      <c r="I659" s="70">
        <v>11</v>
      </c>
      <c r="J659" s="70">
        <v>11</v>
      </c>
      <c r="K659" s="10"/>
    </row>
    <row r="660" spans="1:11" ht="15.75" x14ac:dyDescent="0.2">
      <c r="A660" s="221"/>
      <c r="B660" s="225"/>
      <c r="C660" s="13" t="s">
        <v>578</v>
      </c>
      <c r="D660" s="136" t="s">
        <v>579</v>
      </c>
      <c r="E660" s="14" t="s">
        <v>303</v>
      </c>
      <c r="F660" s="21">
        <v>924.86899999999991</v>
      </c>
      <c r="G660" s="21">
        <v>1031.33</v>
      </c>
      <c r="H660" s="21">
        <v>1059.6781157024793</v>
      </c>
      <c r="I660" s="21">
        <v>1071.8620454545453</v>
      </c>
      <c r="J660" s="21">
        <v>1414.2528719008262</v>
      </c>
      <c r="K660" s="10"/>
    </row>
    <row r="661" spans="1:11" ht="25.5" x14ac:dyDescent="0.2">
      <c r="A661" s="220" t="s">
        <v>1575</v>
      </c>
      <c r="B661" s="224" t="s">
        <v>1949</v>
      </c>
      <c r="C661" s="20" t="s">
        <v>656</v>
      </c>
      <c r="D661" s="136" t="s">
        <v>577</v>
      </c>
      <c r="E661" s="12" t="s">
        <v>301</v>
      </c>
      <c r="F661" s="70">
        <v>15</v>
      </c>
      <c r="G661" s="70">
        <v>15</v>
      </c>
      <c r="H661" s="70">
        <v>15</v>
      </c>
      <c r="I661" s="70">
        <v>15</v>
      </c>
      <c r="J661" s="70">
        <v>15</v>
      </c>
      <c r="K661" s="10"/>
    </row>
    <row r="662" spans="1:11" ht="15.75" x14ac:dyDescent="0.2">
      <c r="A662" s="221"/>
      <c r="B662" s="225"/>
      <c r="C662" s="13" t="s">
        <v>578</v>
      </c>
      <c r="D662" s="136" t="s">
        <v>579</v>
      </c>
      <c r="E662" s="14" t="s">
        <v>303</v>
      </c>
      <c r="F662" s="21">
        <v>453.09</v>
      </c>
      <c r="G662" s="21">
        <v>380.26</v>
      </c>
      <c r="H662" s="21">
        <v>408.60811570247932</v>
      </c>
      <c r="I662" s="21">
        <v>420.79204545454547</v>
      </c>
      <c r="J662" s="21">
        <v>763.18287190082651</v>
      </c>
      <c r="K662" s="10"/>
    </row>
    <row r="663" spans="1:11" ht="25.5" x14ac:dyDescent="0.2">
      <c r="A663" s="220" t="s">
        <v>1576</v>
      </c>
      <c r="B663" s="224" t="s">
        <v>1950</v>
      </c>
      <c r="C663" s="20" t="s">
        <v>621</v>
      </c>
      <c r="D663" s="136" t="s">
        <v>577</v>
      </c>
      <c r="E663" s="12" t="s">
        <v>301</v>
      </c>
      <c r="F663" s="70">
        <v>5</v>
      </c>
      <c r="G663" s="70">
        <v>5</v>
      </c>
      <c r="H663" s="70">
        <v>5</v>
      </c>
      <c r="I663" s="70">
        <v>5</v>
      </c>
      <c r="J663" s="70">
        <v>5</v>
      </c>
      <c r="K663" s="10"/>
    </row>
    <row r="664" spans="1:11" ht="15.75" x14ac:dyDescent="0.2">
      <c r="A664" s="221"/>
      <c r="B664" s="225"/>
      <c r="C664" s="13" t="s">
        <v>578</v>
      </c>
      <c r="D664" s="136" t="s">
        <v>579</v>
      </c>
      <c r="E664" s="14" t="s">
        <v>303</v>
      </c>
      <c r="F664" s="21">
        <v>3370.2375000000002</v>
      </c>
      <c r="G664" s="21">
        <v>856.92200000000003</v>
      </c>
      <c r="H664" s="21">
        <v>885.2701157024793</v>
      </c>
      <c r="I664" s="21">
        <v>897.45404545454539</v>
      </c>
      <c r="J664" s="21">
        <v>1239.8448719008263</v>
      </c>
      <c r="K664" s="10"/>
    </row>
    <row r="665" spans="1:11" ht="25.5" x14ac:dyDescent="0.2">
      <c r="A665" s="220" t="s">
        <v>1577</v>
      </c>
      <c r="B665" s="224" t="s">
        <v>1951</v>
      </c>
      <c r="C665" s="20" t="s">
        <v>622</v>
      </c>
      <c r="D665" s="136" t="s">
        <v>577</v>
      </c>
      <c r="E665" s="12" t="s">
        <v>301</v>
      </c>
      <c r="F665" s="70">
        <v>13</v>
      </c>
      <c r="G665" s="70">
        <v>23</v>
      </c>
      <c r="H665" s="70">
        <v>23</v>
      </c>
      <c r="I665" s="70">
        <v>23</v>
      </c>
      <c r="J665" s="70">
        <v>23</v>
      </c>
      <c r="K665" s="10"/>
    </row>
    <row r="666" spans="1:11" ht="15.75" x14ac:dyDescent="0.2">
      <c r="A666" s="221"/>
      <c r="B666" s="225"/>
      <c r="C666" s="13" t="s">
        <v>578</v>
      </c>
      <c r="D666" s="136" t="s">
        <v>579</v>
      </c>
      <c r="E666" s="14" t="s">
        <v>303</v>
      </c>
      <c r="F666" s="21">
        <v>3227.3483333333334</v>
      </c>
      <c r="G666" s="21">
        <v>1733.92</v>
      </c>
      <c r="H666" s="21">
        <v>1762.2681157024795</v>
      </c>
      <c r="I666" s="21">
        <v>1774.4520454545454</v>
      </c>
      <c r="J666" s="21">
        <v>2116.8428719008266</v>
      </c>
      <c r="K666" s="10"/>
    </row>
    <row r="667" spans="1:11" ht="25.5" x14ac:dyDescent="0.2">
      <c r="A667" s="220" t="s">
        <v>1578</v>
      </c>
      <c r="B667" s="224" t="s">
        <v>1952</v>
      </c>
      <c r="C667" s="20" t="s">
        <v>657</v>
      </c>
      <c r="D667" s="136" t="s">
        <v>577</v>
      </c>
      <c r="E667" s="12" t="s">
        <v>301</v>
      </c>
      <c r="F667" s="70">
        <v>209</v>
      </c>
      <c r="G667" s="70">
        <v>312</v>
      </c>
      <c r="H667" s="70">
        <v>312</v>
      </c>
      <c r="I667" s="70">
        <v>312</v>
      </c>
      <c r="J667" s="70">
        <v>312</v>
      </c>
      <c r="K667" s="10"/>
    </row>
    <row r="668" spans="1:11" ht="15.75" x14ac:dyDescent="0.2">
      <c r="A668" s="221"/>
      <c r="B668" s="225"/>
      <c r="C668" s="13" t="s">
        <v>578</v>
      </c>
      <c r="D668" s="136" t="s">
        <v>579</v>
      </c>
      <c r="E668" s="14" t="s">
        <v>303</v>
      </c>
      <c r="F668" s="21">
        <v>9060.99</v>
      </c>
      <c r="G668" s="21">
        <v>12335.75</v>
      </c>
      <c r="H668" s="21">
        <v>12364.09811570248</v>
      </c>
      <c r="I668" s="21">
        <v>12376.282045454544</v>
      </c>
      <c r="J668" s="21">
        <v>12718.672871900824</v>
      </c>
      <c r="K668" s="10"/>
    </row>
    <row r="669" spans="1:11" ht="25.5" x14ac:dyDescent="0.2">
      <c r="A669" s="220" t="s">
        <v>1579</v>
      </c>
      <c r="B669" s="224" t="s">
        <v>1953</v>
      </c>
      <c r="C669" s="20" t="s">
        <v>658</v>
      </c>
      <c r="D669" s="136" t="s">
        <v>577</v>
      </c>
      <c r="E669" s="12" t="s">
        <v>301</v>
      </c>
      <c r="F669" s="70">
        <v>476</v>
      </c>
      <c r="G669" s="70">
        <v>606</v>
      </c>
      <c r="H669" s="70">
        <v>606</v>
      </c>
      <c r="I669" s="70">
        <v>606</v>
      </c>
      <c r="J669" s="70">
        <v>606</v>
      </c>
      <c r="K669" s="10"/>
    </row>
    <row r="670" spans="1:11" ht="15.75" x14ac:dyDescent="0.2">
      <c r="A670" s="221"/>
      <c r="B670" s="225"/>
      <c r="C670" s="13" t="s">
        <v>578</v>
      </c>
      <c r="D670" s="136" t="s">
        <v>579</v>
      </c>
      <c r="E670" s="14" t="s">
        <v>303</v>
      </c>
      <c r="F670" s="21">
        <v>7864.59</v>
      </c>
      <c r="G670" s="21">
        <v>6377.4</v>
      </c>
      <c r="H670" s="21">
        <v>6405.7481157024786</v>
      </c>
      <c r="I670" s="21">
        <v>6417.932045454545</v>
      </c>
      <c r="J670" s="21">
        <v>6760.3228719008257</v>
      </c>
      <c r="K670" s="10"/>
    </row>
    <row r="671" spans="1:11" ht="25.5" x14ac:dyDescent="0.2">
      <c r="A671" s="220" t="s">
        <v>1580</v>
      </c>
      <c r="B671" s="224" t="s">
        <v>1954</v>
      </c>
      <c r="C671" s="20" t="s">
        <v>659</v>
      </c>
      <c r="D671" s="136" t="s">
        <v>577</v>
      </c>
      <c r="E671" s="12" t="s">
        <v>301</v>
      </c>
      <c r="F671" s="70">
        <v>0</v>
      </c>
      <c r="G671" s="70">
        <v>5</v>
      </c>
      <c r="H671" s="70">
        <v>5</v>
      </c>
      <c r="I671" s="70">
        <v>5</v>
      </c>
      <c r="J671" s="70">
        <v>5</v>
      </c>
      <c r="K671" s="10"/>
    </row>
    <row r="672" spans="1:11" ht="15.75" x14ac:dyDescent="0.2">
      <c r="A672" s="221"/>
      <c r="B672" s="225"/>
      <c r="C672" s="13" t="s">
        <v>578</v>
      </c>
      <c r="D672" s="136" t="s">
        <v>579</v>
      </c>
      <c r="E672" s="14" t="s">
        <v>303</v>
      </c>
      <c r="F672" s="21">
        <v>0</v>
      </c>
      <c r="G672" s="21">
        <v>222.714</v>
      </c>
      <c r="H672" s="21">
        <v>251.06211570247936</v>
      </c>
      <c r="I672" s="21">
        <v>263.24604545454542</v>
      </c>
      <c r="J672" s="21">
        <v>605.63687190082646</v>
      </c>
      <c r="K672" s="10"/>
    </row>
    <row r="673" spans="1:11" ht="25.5" x14ac:dyDescent="0.2">
      <c r="A673" s="220" t="s">
        <v>1581</v>
      </c>
      <c r="B673" s="224" t="s">
        <v>1955</v>
      </c>
      <c r="C673" s="20" t="s">
        <v>660</v>
      </c>
      <c r="D673" s="136" t="s">
        <v>577</v>
      </c>
      <c r="E673" s="12" t="s">
        <v>301</v>
      </c>
      <c r="F673" s="70">
        <v>0</v>
      </c>
      <c r="G673" s="70">
        <v>20</v>
      </c>
      <c r="H673" s="70">
        <v>20</v>
      </c>
      <c r="I673" s="70">
        <v>20</v>
      </c>
      <c r="J673" s="70">
        <v>20</v>
      </c>
      <c r="K673" s="10"/>
    </row>
    <row r="674" spans="1:11" ht="15.75" x14ac:dyDescent="0.2">
      <c r="A674" s="221"/>
      <c r="B674" s="225"/>
      <c r="C674" s="13" t="s">
        <v>578</v>
      </c>
      <c r="D674" s="136" t="s">
        <v>579</v>
      </c>
      <c r="E674" s="14" t="s">
        <v>303</v>
      </c>
      <c r="F674" s="21">
        <v>0</v>
      </c>
      <c r="G674" s="21">
        <v>104.95099999999999</v>
      </c>
      <c r="H674" s="21">
        <v>133.29911570247936</v>
      </c>
      <c r="I674" s="21">
        <v>145.48304545454545</v>
      </c>
      <c r="J674" s="21">
        <v>487.87387190082643</v>
      </c>
      <c r="K674" s="10"/>
    </row>
    <row r="675" spans="1:11" ht="25.5" x14ac:dyDescent="0.2">
      <c r="A675" s="220" t="s">
        <v>1582</v>
      </c>
      <c r="B675" s="224" t="s">
        <v>1956</v>
      </c>
      <c r="C675" s="20" t="s">
        <v>661</v>
      </c>
      <c r="D675" s="136" t="s">
        <v>577</v>
      </c>
      <c r="E675" s="12" t="s">
        <v>301</v>
      </c>
      <c r="F675" s="70">
        <v>4</v>
      </c>
      <c r="G675" s="70">
        <v>4</v>
      </c>
      <c r="H675" s="70">
        <v>4</v>
      </c>
      <c r="I675" s="70">
        <v>4</v>
      </c>
      <c r="J675" s="70">
        <v>4</v>
      </c>
      <c r="K675" s="10"/>
    </row>
    <row r="676" spans="1:11" ht="15.75" x14ac:dyDescent="0.2">
      <c r="A676" s="221"/>
      <c r="B676" s="225"/>
      <c r="C676" s="13" t="s">
        <v>578</v>
      </c>
      <c r="D676" s="136" t="s">
        <v>579</v>
      </c>
      <c r="E676" s="14" t="s">
        <v>303</v>
      </c>
      <c r="F676" s="21">
        <v>406.62</v>
      </c>
      <c r="G676" s="21">
        <v>1350.32</v>
      </c>
      <c r="H676" s="21">
        <v>1378.6681157024793</v>
      </c>
      <c r="I676" s="21">
        <v>1390.8520454545451</v>
      </c>
      <c r="J676" s="21">
        <v>1733.242871900826</v>
      </c>
      <c r="K676" s="10"/>
    </row>
    <row r="677" spans="1:11" ht="25.5" x14ac:dyDescent="0.2">
      <c r="A677" s="220" t="s">
        <v>1583</v>
      </c>
      <c r="B677" s="224" t="s">
        <v>1957</v>
      </c>
      <c r="C677" s="20" t="s">
        <v>662</v>
      </c>
      <c r="D677" s="136" t="s">
        <v>577</v>
      </c>
      <c r="E677" s="12" t="s">
        <v>301</v>
      </c>
      <c r="F677" s="70">
        <v>6</v>
      </c>
      <c r="G677" s="70">
        <v>6</v>
      </c>
      <c r="H677" s="70">
        <v>6</v>
      </c>
      <c r="I677" s="70">
        <v>6</v>
      </c>
      <c r="J677" s="70">
        <v>6</v>
      </c>
      <c r="K677" s="10"/>
    </row>
    <row r="678" spans="1:11" ht="15.75" x14ac:dyDescent="0.2">
      <c r="A678" s="221"/>
      <c r="B678" s="225"/>
      <c r="C678" s="13" t="s">
        <v>578</v>
      </c>
      <c r="D678" s="136" t="s">
        <v>579</v>
      </c>
      <c r="E678" s="14" t="s">
        <v>303</v>
      </c>
      <c r="F678" s="21">
        <v>329.21999999999997</v>
      </c>
      <c r="G678" s="21">
        <v>1479.49</v>
      </c>
      <c r="H678" s="21">
        <v>1507.8381157024794</v>
      </c>
      <c r="I678" s="21">
        <v>1520.0220454545452</v>
      </c>
      <c r="J678" s="21">
        <v>1862.4128719008261</v>
      </c>
      <c r="K678" s="10"/>
    </row>
    <row r="679" spans="1:11" ht="25.5" x14ac:dyDescent="0.2">
      <c r="A679" s="220" t="s">
        <v>1584</v>
      </c>
      <c r="B679" s="224" t="s">
        <v>1958</v>
      </c>
      <c r="C679" s="20" t="s">
        <v>663</v>
      </c>
      <c r="D679" s="136" t="s">
        <v>577</v>
      </c>
      <c r="E679" s="12" t="s">
        <v>301</v>
      </c>
      <c r="F679" s="70">
        <v>34</v>
      </c>
      <c r="G679" s="70">
        <v>34</v>
      </c>
      <c r="H679" s="70">
        <v>34</v>
      </c>
      <c r="I679" s="70">
        <v>34</v>
      </c>
      <c r="J679" s="70">
        <v>34</v>
      </c>
      <c r="K679" s="10"/>
    </row>
    <row r="680" spans="1:11" ht="15.75" x14ac:dyDescent="0.2">
      <c r="A680" s="221"/>
      <c r="B680" s="225"/>
      <c r="C680" s="13" t="s">
        <v>578</v>
      </c>
      <c r="D680" s="136" t="s">
        <v>579</v>
      </c>
      <c r="E680" s="14" t="s">
        <v>303</v>
      </c>
      <c r="F680" s="21">
        <v>986.47</v>
      </c>
      <c r="G680" s="21">
        <v>2077.48</v>
      </c>
      <c r="H680" s="21">
        <v>2105.8281157024794</v>
      </c>
      <c r="I680" s="21">
        <v>2118.0120454545458</v>
      </c>
      <c r="J680" s="21">
        <v>2460.402871900827</v>
      </c>
      <c r="K680" s="10"/>
    </row>
    <row r="681" spans="1:11" ht="25.5" x14ac:dyDescent="0.2">
      <c r="A681" s="220" t="s">
        <v>1585</v>
      </c>
      <c r="B681" s="224" t="s">
        <v>1959</v>
      </c>
      <c r="C681" s="20" t="s">
        <v>664</v>
      </c>
      <c r="D681" s="136" t="s">
        <v>577</v>
      </c>
      <c r="E681" s="12" t="s">
        <v>301</v>
      </c>
      <c r="F681" s="70">
        <v>12</v>
      </c>
      <c r="G681" s="70">
        <v>12</v>
      </c>
      <c r="H681" s="70">
        <v>12</v>
      </c>
      <c r="I681" s="70">
        <v>12</v>
      </c>
      <c r="J681" s="70">
        <v>12</v>
      </c>
      <c r="K681" s="10"/>
    </row>
    <row r="682" spans="1:11" ht="15.75" x14ac:dyDescent="0.2">
      <c r="A682" s="221"/>
      <c r="B682" s="225"/>
      <c r="C682" s="13" t="s">
        <v>578</v>
      </c>
      <c r="D682" s="136" t="s">
        <v>579</v>
      </c>
      <c r="E682" s="14" t="s">
        <v>303</v>
      </c>
      <c r="F682" s="21">
        <v>756.31999999999994</v>
      </c>
      <c r="G682" s="21">
        <v>249.39</v>
      </c>
      <c r="H682" s="21">
        <v>277.73811570247932</v>
      </c>
      <c r="I682" s="21">
        <v>289.92204545454547</v>
      </c>
      <c r="J682" s="21">
        <v>632.31287190082639</v>
      </c>
      <c r="K682" s="10"/>
    </row>
    <row r="683" spans="1:11" ht="25.5" x14ac:dyDescent="0.2">
      <c r="A683" s="220" t="s">
        <v>1586</v>
      </c>
      <c r="B683" s="224" t="s">
        <v>1960</v>
      </c>
      <c r="C683" s="20" t="s">
        <v>665</v>
      </c>
      <c r="D683" s="136" t="s">
        <v>577</v>
      </c>
      <c r="E683" s="12" t="s">
        <v>301</v>
      </c>
      <c r="F683" s="70">
        <v>1</v>
      </c>
      <c r="G683" s="70">
        <v>1</v>
      </c>
      <c r="H683" s="70">
        <v>1</v>
      </c>
      <c r="I683" s="70">
        <v>1</v>
      </c>
      <c r="J683" s="70">
        <v>1</v>
      </c>
      <c r="K683" s="10"/>
    </row>
    <row r="684" spans="1:11" ht="15.75" x14ac:dyDescent="0.2">
      <c r="A684" s="221"/>
      <c r="B684" s="225"/>
      <c r="C684" s="13" t="s">
        <v>578</v>
      </c>
      <c r="D684" s="136" t="s">
        <v>579</v>
      </c>
      <c r="E684" s="14" t="s">
        <v>303</v>
      </c>
      <c r="F684" s="21">
        <v>1814.04</v>
      </c>
      <c r="G684" s="21">
        <v>657.79</v>
      </c>
      <c r="H684" s="21">
        <v>686.13811570247924</v>
      </c>
      <c r="I684" s="21">
        <v>698.32204545454533</v>
      </c>
      <c r="J684" s="21">
        <v>1040.7128719008263</v>
      </c>
      <c r="K684" s="10"/>
    </row>
    <row r="685" spans="1:11" ht="25.5" x14ac:dyDescent="0.2">
      <c r="A685" s="220" t="s">
        <v>1587</v>
      </c>
      <c r="B685" s="224" t="s">
        <v>1961</v>
      </c>
      <c r="C685" s="20" t="s">
        <v>666</v>
      </c>
      <c r="D685" s="136" t="s">
        <v>577</v>
      </c>
      <c r="E685" s="12" t="s">
        <v>301</v>
      </c>
      <c r="F685" s="70">
        <v>45</v>
      </c>
      <c r="G685" s="70">
        <v>47</v>
      </c>
      <c r="H685" s="70">
        <v>47</v>
      </c>
      <c r="I685" s="70">
        <v>47</v>
      </c>
      <c r="J685" s="70">
        <v>47</v>
      </c>
      <c r="K685" s="10"/>
    </row>
    <row r="686" spans="1:11" ht="15.75" x14ac:dyDescent="0.2">
      <c r="A686" s="221"/>
      <c r="B686" s="225"/>
      <c r="C686" s="13" t="s">
        <v>578</v>
      </c>
      <c r="D686" s="136" t="s">
        <v>579</v>
      </c>
      <c r="E686" s="14" t="s">
        <v>303</v>
      </c>
      <c r="F686" s="21">
        <v>3710.36</v>
      </c>
      <c r="G686" s="21">
        <v>2410.9499999999998</v>
      </c>
      <c r="H686" s="21">
        <v>2439.2981157024792</v>
      </c>
      <c r="I686" s="21">
        <v>2451.4820454545456</v>
      </c>
      <c r="J686" s="21">
        <v>2793.8728719008268</v>
      </c>
      <c r="K686" s="10"/>
    </row>
    <row r="687" spans="1:11" ht="25.5" x14ac:dyDescent="0.2">
      <c r="A687" s="220" t="s">
        <v>1588</v>
      </c>
      <c r="B687" s="224" t="s">
        <v>1962</v>
      </c>
      <c r="C687" s="20" t="s">
        <v>667</v>
      </c>
      <c r="D687" s="136" t="s">
        <v>577</v>
      </c>
      <c r="E687" s="12" t="s">
        <v>301</v>
      </c>
      <c r="F687" s="70">
        <v>83</v>
      </c>
      <c r="G687" s="70">
        <v>87</v>
      </c>
      <c r="H687" s="70">
        <v>87</v>
      </c>
      <c r="I687" s="70">
        <v>87</v>
      </c>
      <c r="J687" s="70">
        <v>87</v>
      </c>
      <c r="K687" s="10"/>
    </row>
    <row r="688" spans="1:11" ht="15.75" x14ac:dyDescent="0.2">
      <c r="A688" s="221"/>
      <c r="B688" s="225"/>
      <c r="C688" s="13" t="s">
        <v>578</v>
      </c>
      <c r="D688" s="136" t="s">
        <v>579</v>
      </c>
      <c r="E688" s="14" t="s">
        <v>303</v>
      </c>
      <c r="F688" s="21">
        <v>2625.04</v>
      </c>
      <c r="G688" s="21">
        <v>1878.04</v>
      </c>
      <c r="H688" s="21">
        <v>1906.3881157024794</v>
      </c>
      <c r="I688" s="21">
        <v>1918.5720454545453</v>
      </c>
      <c r="J688" s="21">
        <v>2260.9628719008265</v>
      </c>
      <c r="K688" s="10"/>
    </row>
    <row r="689" spans="1:11" ht="25.5" x14ac:dyDescent="0.2">
      <c r="A689" s="220" t="s">
        <v>1589</v>
      </c>
      <c r="B689" s="224" t="s">
        <v>1963</v>
      </c>
      <c r="C689" s="20" t="s">
        <v>668</v>
      </c>
      <c r="D689" s="136" t="s">
        <v>577</v>
      </c>
      <c r="E689" s="12" t="s">
        <v>301</v>
      </c>
      <c r="F689" s="70">
        <v>9</v>
      </c>
      <c r="G689" s="70">
        <v>12</v>
      </c>
      <c r="H689" s="70">
        <v>12</v>
      </c>
      <c r="I689" s="70">
        <v>12</v>
      </c>
      <c r="J689" s="70">
        <v>12</v>
      </c>
      <c r="K689" s="10"/>
    </row>
    <row r="690" spans="1:11" ht="15.75" x14ac:dyDescent="0.2">
      <c r="A690" s="221"/>
      <c r="B690" s="225"/>
      <c r="C690" s="13" t="s">
        <v>578</v>
      </c>
      <c r="D690" s="136" t="s">
        <v>579</v>
      </c>
      <c r="E690" s="14" t="s">
        <v>303</v>
      </c>
      <c r="F690" s="21">
        <v>544.51799999999992</v>
      </c>
      <c r="G690" s="21">
        <v>342.75</v>
      </c>
      <c r="H690" s="21">
        <v>371.09811570247933</v>
      </c>
      <c r="I690" s="21">
        <v>383.28204545454548</v>
      </c>
      <c r="J690" s="21">
        <v>725.67287190082652</v>
      </c>
      <c r="K690" s="10"/>
    </row>
    <row r="691" spans="1:11" ht="25.5" x14ac:dyDescent="0.2">
      <c r="A691" s="220" t="s">
        <v>1590</v>
      </c>
      <c r="B691" s="224" t="s">
        <v>1964</v>
      </c>
      <c r="C691" s="20" t="s">
        <v>669</v>
      </c>
      <c r="D691" s="136" t="s">
        <v>577</v>
      </c>
      <c r="E691" s="12" t="s">
        <v>301</v>
      </c>
      <c r="F691" s="70">
        <v>67</v>
      </c>
      <c r="G691" s="70">
        <v>56</v>
      </c>
      <c r="H691" s="70">
        <v>56</v>
      </c>
      <c r="I691" s="70">
        <v>56</v>
      </c>
      <c r="J691" s="70">
        <v>56</v>
      </c>
      <c r="K691" s="10"/>
    </row>
    <row r="692" spans="1:11" ht="15.75" x14ac:dyDescent="0.2">
      <c r="A692" s="221"/>
      <c r="B692" s="225"/>
      <c r="C692" s="13" t="s">
        <v>578</v>
      </c>
      <c r="D692" s="136" t="s">
        <v>579</v>
      </c>
      <c r="E692" s="14" t="s">
        <v>303</v>
      </c>
      <c r="F692" s="21">
        <v>329.5585135135135</v>
      </c>
      <c r="G692" s="21">
        <v>2250.9299999999998</v>
      </c>
      <c r="H692" s="21">
        <v>2279.2781157024792</v>
      </c>
      <c r="I692" s="21">
        <v>2291.4620454545457</v>
      </c>
      <c r="J692" s="21">
        <v>2633.8528719008268</v>
      </c>
      <c r="K692" s="10"/>
    </row>
    <row r="693" spans="1:11" ht="25.5" x14ac:dyDescent="0.2">
      <c r="A693" s="220" t="s">
        <v>1591</v>
      </c>
      <c r="B693" s="224" t="s">
        <v>1965</v>
      </c>
      <c r="C693" s="20" t="s">
        <v>670</v>
      </c>
      <c r="D693" s="136" t="s">
        <v>577</v>
      </c>
      <c r="E693" s="12" t="s">
        <v>301</v>
      </c>
      <c r="F693" s="70">
        <v>1</v>
      </c>
      <c r="G693" s="70">
        <v>1</v>
      </c>
      <c r="H693" s="70">
        <v>1</v>
      </c>
      <c r="I693" s="70">
        <v>1</v>
      </c>
      <c r="J693" s="70">
        <v>1</v>
      </c>
      <c r="K693" s="10"/>
    </row>
    <row r="694" spans="1:11" ht="15.75" x14ac:dyDescent="0.2">
      <c r="A694" s="221"/>
      <c r="B694" s="225"/>
      <c r="C694" s="13" t="s">
        <v>578</v>
      </c>
      <c r="D694" s="136" t="s">
        <v>579</v>
      </c>
      <c r="E694" s="14" t="s">
        <v>303</v>
      </c>
      <c r="F694" s="21">
        <v>1951.02</v>
      </c>
      <c r="G694" s="21">
        <v>240.804</v>
      </c>
      <c r="H694" s="21">
        <v>269.15211570247936</v>
      </c>
      <c r="I694" s="21">
        <v>281.3360454545454</v>
      </c>
      <c r="J694" s="21">
        <v>623.72687190082638</v>
      </c>
      <c r="K694" s="10"/>
    </row>
    <row r="695" spans="1:11" ht="25.5" x14ac:dyDescent="0.2">
      <c r="A695" s="220" t="s">
        <v>1592</v>
      </c>
      <c r="B695" s="224" t="s">
        <v>1966</v>
      </c>
      <c r="C695" s="20" t="s">
        <v>671</v>
      </c>
      <c r="D695" s="136" t="s">
        <v>577</v>
      </c>
      <c r="E695" s="12" t="s">
        <v>301</v>
      </c>
      <c r="F695" s="70">
        <v>5</v>
      </c>
      <c r="G695" s="70">
        <v>5</v>
      </c>
      <c r="H695" s="70">
        <v>5</v>
      </c>
      <c r="I695" s="70">
        <v>5</v>
      </c>
      <c r="J695" s="70">
        <v>5</v>
      </c>
      <c r="K695" s="10"/>
    </row>
    <row r="696" spans="1:11" ht="15.75" x14ac:dyDescent="0.2">
      <c r="A696" s="221"/>
      <c r="B696" s="225"/>
      <c r="C696" s="13" t="s">
        <v>578</v>
      </c>
      <c r="D696" s="136" t="s">
        <v>579</v>
      </c>
      <c r="E696" s="14" t="s">
        <v>303</v>
      </c>
      <c r="F696" s="21">
        <v>502.22</v>
      </c>
      <c r="G696" s="21">
        <v>666.09699999999998</v>
      </c>
      <c r="H696" s="21">
        <v>694.44511570247926</v>
      </c>
      <c r="I696" s="21">
        <v>706.62904545454535</v>
      </c>
      <c r="J696" s="21">
        <v>1049.0198719008263</v>
      </c>
      <c r="K696" s="10"/>
    </row>
    <row r="697" spans="1:11" ht="25.5" x14ac:dyDescent="0.2">
      <c r="A697" s="220" t="s">
        <v>1593</v>
      </c>
      <c r="B697" s="224" t="s">
        <v>1967</v>
      </c>
      <c r="C697" s="20" t="s">
        <v>672</v>
      </c>
      <c r="D697" s="136" t="s">
        <v>577</v>
      </c>
      <c r="E697" s="12" t="s">
        <v>301</v>
      </c>
      <c r="F697" s="70">
        <v>9</v>
      </c>
      <c r="G697" s="70">
        <v>20</v>
      </c>
      <c r="H697" s="70">
        <v>20</v>
      </c>
      <c r="I697" s="70">
        <v>20</v>
      </c>
      <c r="J697" s="70">
        <v>20</v>
      </c>
      <c r="K697" s="10"/>
    </row>
    <row r="698" spans="1:11" ht="15.75" x14ac:dyDescent="0.2">
      <c r="A698" s="221"/>
      <c r="B698" s="225"/>
      <c r="C698" s="13" t="s">
        <v>578</v>
      </c>
      <c r="D698" s="136" t="s">
        <v>579</v>
      </c>
      <c r="E698" s="14" t="s">
        <v>303</v>
      </c>
      <c r="F698" s="21">
        <v>1983.6200000000001</v>
      </c>
      <c r="G698" s="21">
        <v>1021.89</v>
      </c>
      <c r="H698" s="21">
        <v>1050.2381157024793</v>
      </c>
      <c r="I698" s="21">
        <v>1062.4220454545452</v>
      </c>
      <c r="J698" s="21">
        <v>1404.8128719008262</v>
      </c>
      <c r="K698" s="10"/>
    </row>
    <row r="699" spans="1:11" ht="25.5" x14ac:dyDescent="0.2">
      <c r="A699" s="220" t="s">
        <v>1594</v>
      </c>
      <c r="B699" s="224" t="s">
        <v>1968</v>
      </c>
      <c r="C699" s="20" t="s">
        <v>673</v>
      </c>
      <c r="D699" s="136" t="s">
        <v>577</v>
      </c>
      <c r="E699" s="12" t="s">
        <v>301</v>
      </c>
      <c r="F699" s="70">
        <v>29</v>
      </c>
      <c r="G699" s="70">
        <v>21</v>
      </c>
      <c r="H699" s="70">
        <v>21</v>
      </c>
      <c r="I699" s="70">
        <v>21</v>
      </c>
      <c r="J699" s="70">
        <v>21</v>
      </c>
      <c r="K699" s="10"/>
    </row>
    <row r="700" spans="1:11" ht="15.75" x14ac:dyDescent="0.2">
      <c r="A700" s="221"/>
      <c r="B700" s="225"/>
      <c r="C700" s="13" t="s">
        <v>578</v>
      </c>
      <c r="D700" s="136" t="s">
        <v>579</v>
      </c>
      <c r="E700" s="14" t="s">
        <v>303</v>
      </c>
      <c r="F700" s="21">
        <v>1771.88</v>
      </c>
      <c r="G700" s="21">
        <v>338.39</v>
      </c>
      <c r="H700" s="21">
        <v>366.73811570247932</v>
      </c>
      <c r="I700" s="21">
        <v>378.92204545454547</v>
      </c>
      <c r="J700" s="21">
        <v>721.31287190082639</v>
      </c>
      <c r="K700" s="10"/>
    </row>
    <row r="701" spans="1:11" ht="25.5" x14ac:dyDescent="0.2">
      <c r="A701" s="220" t="s">
        <v>1595</v>
      </c>
      <c r="B701" s="224" t="s">
        <v>1969</v>
      </c>
      <c r="C701" s="20" t="s">
        <v>674</v>
      </c>
      <c r="D701" s="136" t="s">
        <v>577</v>
      </c>
      <c r="E701" s="12" t="s">
        <v>301</v>
      </c>
      <c r="F701" s="70">
        <v>6</v>
      </c>
      <c r="G701" s="70">
        <v>10</v>
      </c>
      <c r="H701" s="70">
        <v>10</v>
      </c>
      <c r="I701" s="70">
        <v>10</v>
      </c>
      <c r="J701" s="70">
        <v>10</v>
      </c>
      <c r="K701" s="10"/>
    </row>
    <row r="702" spans="1:11" ht="15.75" x14ac:dyDescent="0.2">
      <c r="A702" s="221"/>
      <c r="B702" s="225"/>
      <c r="C702" s="13" t="s">
        <v>578</v>
      </c>
      <c r="D702" s="136" t="s">
        <v>579</v>
      </c>
      <c r="E702" s="14" t="s">
        <v>303</v>
      </c>
      <c r="F702" s="21">
        <v>279.69</v>
      </c>
      <c r="G702" s="21">
        <v>162.22999999999999</v>
      </c>
      <c r="H702" s="21">
        <v>190.57811570247935</v>
      </c>
      <c r="I702" s="21">
        <v>202.76204545454544</v>
      </c>
      <c r="J702" s="21">
        <v>545.15287190082643</v>
      </c>
      <c r="K702" s="10"/>
    </row>
    <row r="703" spans="1:11" ht="25.5" x14ac:dyDescent="0.2">
      <c r="A703" s="220" t="s">
        <v>1596</v>
      </c>
      <c r="B703" s="224" t="s">
        <v>1971</v>
      </c>
      <c r="C703" s="20" t="s">
        <v>675</v>
      </c>
      <c r="D703" s="136" t="s">
        <v>577</v>
      </c>
      <c r="E703" s="12" t="s">
        <v>301</v>
      </c>
      <c r="F703" s="70">
        <v>143</v>
      </c>
      <c r="G703" s="70">
        <v>136</v>
      </c>
      <c r="H703" s="70">
        <v>136</v>
      </c>
      <c r="I703" s="70">
        <v>136</v>
      </c>
      <c r="J703" s="70">
        <v>136</v>
      </c>
      <c r="K703" s="10"/>
    </row>
    <row r="704" spans="1:11" ht="15.75" x14ac:dyDescent="0.2">
      <c r="A704" s="221"/>
      <c r="B704" s="225"/>
      <c r="C704" s="13" t="s">
        <v>578</v>
      </c>
      <c r="D704" s="136" t="s">
        <v>579</v>
      </c>
      <c r="E704" s="14" t="s">
        <v>303</v>
      </c>
      <c r="F704" s="21">
        <v>3419.8</v>
      </c>
      <c r="G704" s="21">
        <v>7776.99</v>
      </c>
      <c r="H704" s="21">
        <v>7805.3381157024787</v>
      </c>
      <c r="I704" s="21">
        <v>7817.5220454545452</v>
      </c>
      <c r="J704" s="21">
        <v>8159.9128719008258</v>
      </c>
      <c r="K704" s="10"/>
    </row>
    <row r="705" spans="1:11" ht="25.5" x14ac:dyDescent="0.2">
      <c r="A705" s="220" t="s">
        <v>1597</v>
      </c>
      <c r="B705" s="224" t="s">
        <v>1970</v>
      </c>
      <c r="C705" s="20" t="s">
        <v>675</v>
      </c>
      <c r="D705" s="136" t="s">
        <v>577</v>
      </c>
      <c r="E705" s="12" t="s">
        <v>301</v>
      </c>
      <c r="F705" s="70">
        <v>77</v>
      </c>
      <c r="G705" s="70">
        <v>301</v>
      </c>
      <c r="H705" s="70">
        <v>301</v>
      </c>
      <c r="I705" s="70">
        <v>301</v>
      </c>
      <c r="J705" s="70">
        <v>301</v>
      </c>
      <c r="K705" s="10"/>
    </row>
    <row r="706" spans="1:11" ht="15.75" x14ac:dyDescent="0.2">
      <c r="A706" s="221"/>
      <c r="B706" s="225"/>
      <c r="C706" s="13" t="s">
        <v>578</v>
      </c>
      <c r="D706" s="136" t="s">
        <v>579</v>
      </c>
      <c r="E706" s="14" t="s">
        <v>303</v>
      </c>
      <c r="F706" s="21">
        <v>2335.13</v>
      </c>
      <c r="G706" s="21">
        <v>3645.17</v>
      </c>
      <c r="H706" s="21">
        <v>3673.5181157024795</v>
      </c>
      <c r="I706" s="21">
        <v>3685.7020454545459</v>
      </c>
      <c r="J706" s="21">
        <v>4028.092871900827</v>
      </c>
      <c r="K706" s="10"/>
    </row>
    <row r="707" spans="1:11" ht="25.5" x14ac:dyDescent="0.2">
      <c r="A707" s="220" t="s">
        <v>1598</v>
      </c>
      <c r="B707" s="224" t="s">
        <v>1972</v>
      </c>
      <c r="C707" s="20" t="s">
        <v>676</v>
      </c>
      <c r="D707" s="136" t="s">
        <v>577</v>
      </c>
      <c r="E707" s="12" t="s">
        <v>301</v>
      </c>
      <c r="F707" s="70">
        <v>6</v>
      </c>
      <c r="G707" s="70">
        <v>6</v>
      </c>
      <c r="H707" s="70">
        <v>6</v>
      </c>
      <c r="I707" s="70">
        <v>6</v>
      </c>
      <c r="J707" s="70">
        <v>6</v>
      </c>
      <c r="K707" s="10"/>
    </row>
    <row r="708" spans="1:11" ht="15.75" x14ac:dyDescent="0.2">
      <c r="A708" s="221"/>
      <c r="B708" s="225"/>
      <c r="C708" s="13" t="s">
        <v>578</v>
      </c>
      <c r="D708" s="136" t="s">
        <v>579</v>
      </c>
      <c r="E708" s="14" t="s">
        <v>303</v>
      </c>
      <c r="F708" s="21">
        <v>605.17709500000012</v>
      </c>
      <c r="G708" s="21">
        <v>884.27</v>
      </c>
      <c r="H708" s="21">
        <v>912.61811570247926</v>
      </c>
      <c r="I708" s="21">
        <v>924.80204545454535</v>
      </c>
      <c r="J708" s="21">
        <v>1267.1928719008263</v>
      </c>
      <c r="K708" s="10"/>
    </row>
    <row r="709" spans="1:11" ht="25.5" x14ac:dyDescent="0.2">
      <c r="A709" s="220" t="s">
        <v>1599</v>
      </c>
      <c r="B709" s="224" t="s">
        <v>1973</v>
      </c>
      <c r="C709" s="20" t="s">
        <v>677</v>
      </c>
      <c r="D709" s="136" t="s">
        <v>577</v>
      </c>
      <c r="E709" s="12" t="s">
        <v>301</v>
      </c>
      <c r="F709" s="70">
        <v>45</v>
      </c>
      <c r="G709" s="70">
        <v>45</v>
      </c>
      <c r="H709" s="70">
        <v>45</v>
      </c>
      <c r="I709" s="70">
        <v>45</v>
      </c>
      <c r="J709" s="70">
        <v>45</v>
      </c>
      <c r="K709" s="10"/>
    </row>
    <row r="710" spans="1:11" ht="15.75" x14ac:dyDescent="0.2">
      <c r="A710" s="221"/>
      <c r="B710" s="225"/>
      <c r="C710" s="13" t="s">
        <v>578</v>
      </c>
      <c r="D710" s="136" t="s">
        <v>579</v>
      </c>
      <c r="E710" s="14" t="s">
        <v>303</v>
      </c>
      <c r="F710" s="21">
        <v>930.88509500000009</v>
      </c>
      <c r="G710" s="21">
        <v>1646.36</v>
      </c>
      <c r="H710" s="21">
        <v>1674.7081157024793</v>
      </c>
      <c r="I710" s="21">
        <v>1686.892045454545</v>
      </c>
      <c r="J710" s="21">
        <v>2029.282871900826</v>
      </c>
      <c r="K710" s="10"/>
    </row>
    <row r="711" spans="1:11" ht="25.5" x14ac:dyDescent="0.2">
      <c r="A711" s="220" t="s">
        <v>1600</v>
      </c>
      <c r="B711" s="224" t="s">
        <v>1974</v>
      </c>
      <c r="C711" s="20" t="s">
        <v>678</v>
      </c>
      <c r="D711" s="136" t="s">
        <v>577</v>
      </c>
      <c r="E711" s="12" t="s">
        <v>301</v>
      </c>
      <c r="F711" s="70">
        <v>8</v>
      </c>
      <c r="G711" s="70">
        <v>11</v>
      </c>
      <c r="H711" s="70">
        <v>11</v>
      </c>
      <c r="I711" s="70">
        <v>11</v>
      </c>
      <c r="J711" s="70">
        <v>11</v>
      </c>
      <c r="K711" s="10"/>
    </row>
    <row r="712" spans="1:11" ht="15.75" x14ac:dyDescent="0.2">
      <c r="A712" s="221"/>
      <c r="B712" s="225"/>
      <c r="C712" s="13" t="s">
        <v>578</v>
      </c>
      <c r="D712" s="136" t="s">
        <v>579</v>
      </c>
      <c r="E712" s="14" t="s">
        <v>303</v>
      </c>
      <c r="F712" s="21">
        <v>515.57352363636369</v>
      </c>
      <c r="G712" s="21">
        <v>109.72</v>
      </c>
      <c r="H712" s="21">
        <v>138.06811570247936</v>
      </c>
      <c r="I712" s="21">
        <v>150.25204545454545</v>
      </c>
      <c r="J712" s="21">
        <v>492.64287190082644</v>
      </c>
      <c r="K712" s="10"/>
    </row>
    <row r="713" spans="1:11" ht="25.5" x14ac:dyDescent="0.2">
      <c r="A713" s="220" t="s">
        <v>1601</v>
      </c>
      <c r="B713" s="224" t="s">
        <v>1975</v>
      </c>
      <c r="C713" s="20" t="s">
        <v>679</v>
      </c>
      <c r="D713" s="136" t="s">
        <v>577</v>
      </c>
      <c r="E713" s="12" t="s">
        <v>301</v>
      </c>
      <c r="F713" s="70">
        <v>37</v>
      </c>
      <c r="G713" s="70">
        <v>50</v>
      </c>
      <c r="H713" s="70">
        <v>50</v>
      </c>
      <c r="I713" s="70">
        <v>50</v>
      </c>
      <c r="J713" s="70">
        <v>50</v>
      </c>
      <c r="K713" s="10"/>
    </row>
    <row r="714" spans="1:11" ht="15.75" x14ac:dyDescent="0.2">
      <c r="A714" s="221"/>
      <c r="B714" s="225"/>
      <c r="C714" s="13" t="s">
        <v>578</v>
      </c>
      <c r="D714" s="136" t="s">
        <v>579</v>
      </c>
      <c r="E714" s="14" t="s">
        <v>303</v>
      </c>
      <c r="F714" s="21">
        <v>331.19891030000002</v>
      </c>
      <c r="G714" s="21">
        <v>782.78</v>
      </c>
      <c r="H714" s="21">
        <v>811.12811570247925</v>
      </c>
      <c r="I714" s="21">
        <v>823.31204545454534</v>
      </c>
      <c r="J714" s="21">
        <v>1165.7028719008263</v>
      </c>
      <c r="K714" s="10"/>
    </row>
    <row r="715" spans="1:11" ht="25.5" x14ac:dyDescent="0.2">
      <c r="A715" s="220" t="s">
        <v>1602</v>
      </c>
      <c r="B715" s="224" t="s">
        <v>1976</v>
      </c>
      <c r="C715" s="20" t="s">
        <v>680</v>
      </c>
      <c r="D715" s="136" t="s">
        <v>577</v>
      </c>
      <c r="E715" s="12" t="s">
        <v>301</v>
      </c>
      <c r="F715" s="70">
        <v>28</v>
      </c>
      <c r="G715" s="70">
        <v>45</v>
      </c>
      <c r="H715" s="70">
        <v>45</v>
      </c>
      <c r="I715" s="70">
        <v>45</v>
      </c>
      <c r="J715" s="70">
        <v>45</v>
      </c>
      <c r="K715" s="10"/>
    </row>
    <row r="716" spans="1:11" ht="15.75" x14ac:dyDescent="0.2">
      <c r="A716" s="221"/>
      <c r="B716" s="225"/>
      <c r="C716" s="13" t="s">
        <v>578</v>
      </c>
      <c r="D716" s="136" t="s">
        <v>579</v>
      </c>
      <c r="E716" s="14" t="s">
        <v>303</v>
      </c>
      <c r="F716" s="21">
        <v>1130.4813924444445</v>
      </c>
      <c r="G716" s="21">
        <v>237.61</v>
      </c>
      <c r="H716" s="21">
        <v>265.95811570247935</v>
      </c>
      <c r="I716" s="21">
        <v>278.14204545454544</v>
      </c>
      <c r="J716" s="21">
        <v>620.53287190082642</v>
      </c>
      <c r="K716" s="10"/>
    </row>
    <row r="717" spans="1:11" ht="25.5" x14ac:dyDescent="0.2">
      <c r="A717" s="220" t="s">
        <v>1603</v>
      </c>
      <c r="B717" s="224" t="s">
        <v>1977</v>
      </c>
      <c r="C717" s="20" t="s">
        <v>681</v>
      </c>
      <c r="D717" s="136" t="s">
        <v>577</v>
      </c>
      <c r="E717" s="12" t="s">
        <v>301</v>
      </c>
      <c r="F717" s="70">
        <v>139</v>
      </c>
      <c r="G717" s="70">
        <v>374</v>
      </c>
      <c r="H717" s="70">
        <v>374</v>
      </c>
      <c r="I717" s="70">
        <v>374</v>
      </c>
      <c r="J717" s="70">
        <v>374</v>
      </c>
      <c r="K717" s="10"/>
    </row>
    <row r="718" spans="1:11" ht="15.75" x14ac:dyDescent="0.2">
      <c r="A718" s="221"/>
      <c r="B718" s="225"/>
      <c r="C718" s="13" t="s">
        <v>578</v>
      </c>
      <c r="D718" s="136" t="s">
        <v>579</v>
      </c>
      <c r="E718" s="14" t="s">
        <v>303</v>
      </c>
      <c r="F718" s="21">
        <v>6381.26</v>
      </c>
      <c r="G718" s="21">
        <v>10871.64</v>
      </c>
      <c r="H718" s="21">
        <v>10899.988115702479</v>
      </c>
      <c r="I718" s="21">
        <v>10912.172045454543</v>
      </c>
      <c r="J718" s="21">
        <v>11254.562871900824</v>
      </c>
      <c r="K718" s="10"/>
    </row>
    <row r="719" spans="1:11" ht="25.5" x14ac:dyDescent="0.2">
      <c r="A719" s="220" t="s">
        <v>1604</v>
      </c>
      <c r="B719" s="224" t="s">
        <v>1978</v>
      </c>
      <c r="C719" s="20" t="s">
        <v>682</v>
      </c>
      <c r="D719" s="136" t="s">
        <v>577</v>
      </c>
      <c r="E719" s="12" t="s">
        <v>301</v>
      </c>
      <c r="F719" s="70">
        <v>230</v>
      </c>
      <c r="G719" s="70">
        <v>332</v>
      </c>
      <c r="H719" s="70">
        <v>332</v>
      </c>
      <c r="I719" s="70">
        <v>332</v>
      </c>
      <c r="J719" s="70">
        <v>332</v>
      </c>
      <c r="K719" s="10"/>
    </row>
    <row r="720" spans="1:11" ht="15.75" x14ac:dyDescent="0.2">
      <c r="A720" s="221"/>
      <c r="B720" s="225"/>
      <c r="C720" s="13" t="s">
        <v>578</v>
      </c>
      <c r="D720" s="136" t="s">
        <v>579</v>
      </c>
      <c r="E720" s="14" t="s">
        <v>303</v>
      </c>
      <c r="F720" s="21">
        <v>5790.06</v>
      </c>
      <c r="G720" s="21">
        <v>3144.26</v>
      </c>
      <c r="H720" s="21">
        <v>3172.6081157024796</v>
      </c>
      <c r="I720" s="21">
        <v>3184.792045454546</v>
      </c>
      <c r="J720" s="21">
        <v>3527.1828719008272</v>
      </c>
      <c r="K720" s="10"/>
    </row>
    <row r="721" spans="1:11" ht="25.5" x14ac:dyDescent="0.2">
      <c r="A721" s="220" t="s">
        <v>1605</v>
      </c>
      <c r="B721" s="224" t="s">
        <v>1979</v>
      </c>
      <c r="C721" s="20" t="s">
        <v>683</v>
      </c>
      <c r="D721" s="136" t="s">
        <v>577</v>
      </c>
      <c r="E721" s="12" t="s">
        <v>301</v>
      </c>
      <c r="F721" s="70">
        <v>13</v>
      </c>
      <c r="G721" s="70">
        <v>13</v>
      </c>
      <c r="H721" s="70">
        <v>13</v>
      </c>
      <c r="I721" s="70">
        <v>13</v>
      </c>
      <c r="J721" s="70">
        <v>13</v>
      </c>
      <c r="K721" s="10"/>
    </row>
    <row r="722" spans="1:11" ht="15.75" x14ac:dyDescent="0.2">
      <c r="A722" s="221"/>
      <c r="B722" s="225"/>
      <c r="C722" s="13" t="s">
        <v>578</v>
      </c>
      <c r="D722" s="136" t="s">
        <v>579</v>
      </c>
      <c r="E722" s="14" t="s">
        <v>303</v>
      </c>
      <c r="F722" s="21">
        <v>550.26214285714275</v>
      </c>
      <c r="G722" s="21">
        <v>306.88</v>
      </c>
      <c r="H722" s="21">
        <v>335.22811570247933</v>
      </c>
      <c r="I722" s="21">
        <v>347.41204545454548</v>
      </c>
      <c r="J722" s="21">
        <v>689.8028719008264</v>
      </c>
      <c r="K722" s="10"/>
    </row>
    <row r="723" spans="1:11" ht="25.5" x14ac:dyDescent="0.2">
      <c r="A723" s="220" t="s">
        <v>1606</v>
      </c>
      <c r="B723" s="224" t="s">
        <v>1980</v>
      </c>
      <c r="C723" s="20" t="s">
        <v>684</v>
      </c>
      <c r="D723" s="136" t="s">
        <v>577</v>
      </c>
      <c r="E723" s="12" t="s">
        <v>301</v>
      </c>
      <c r="F723" s="70">
        <v>87</v>
      </c>
      <c r="G723" s="70">
        <v>120</v>
      </c>
      <c r="H723" s="70">
        <v>120</v>
      </c>
      <c r="I723" s="70">
        <v>120</v>
      </c>
      <c r="J723" s="70">
        <v>120</v>
      </c>
      <c r="K723" s="10"/>
    </row>
    <row r="724" spans="1:11" ht="15.75" x14ac:dyDescent="0.2">
      <c r="A724" s="221"/>
      <c r="B724" s="225"/>
      <c r="C724" s="13" t="s">
        <v>578</v>
      </c>
      <c r="D724" s="136" t="s">
        <v>579</v>
      </c>
      <c r="E724" s="14" t="s">
        <v>303</v>
      </c>
      <c r="F724" s="21">
        <v>81.644062500000004</v>
      </c>
      <c r="G724" s="21">
        <v>7689.98</v>
      </c>
      <c r="H724" s="21">
        <v>7718.3281157024785</v>
      </c>
      <c r="I724" s="21">
        <v>7730.5120454545449</v>
      </c>
      <c r="J724" s="21">
        <v>8072.9028719008256</v>
      </c>
      <c r="K724" s="10"/>
    </row>
    <row r="725" spans="1:11" ht="25.5" x14ac:dyDescent="0.2">
      <c r="A725" s="220" t="s">
        <v>1607</v>
      </c>
      <c r="B725" s="224" t="s">
        <v>1981</v>
      </c>
      <c r="C725" s="20" t="s">
        <v>685</v>
      </c>
      <c r="D725" s="136" t="s">
        <v>577</v>
      </c>
      <c r="E725" s="12" t="s">
        <v>301</v>
      </c>
      <c r="F725" s="70">
        <v>61</v>
      </c>
      <c r="G725" s="70">
        <v>40</v>
      </c>
      <c r="H725" s="70">
        <v>40</v>
      </c>
      <c r="I725" s="70">
        <v>40</v>
      </c>
      <c r="J725" s="70">
        <v>40</v>
      </c>
      <c r="K725" s="10"/>
    </row>
    <row r="726" spans="1:11" ht="15.75" x14ac:dyDescent="0.2">
      <c r="A726" s="221"/>
      <c r="B726" s="225"/>
      <c r="C726" s="13" t="s">
        <v>578</v>
      </c>
      <c r="D726" s="136" t="s">
        <v>579</v>
      </c>
      <c r="E726" s="14" t="s">
        <v>303</v>
      </c>
      <c r="F726" s="21">
        <v>560.07000000000005</v>
      </c>
      <c r="G726" s="21">
        <v>269.52999999999997</v>
      </c>
      <c r="H726" s="21">
        <v>297.87811570247931</v>
      </c>
      <c r="I726" s="21">
        <v>310.06204545454545</v>
      </c>
      <c r="J726" s="21">
        <v>652.45287190082649</v>
      </c>
      <c r="K726" s="10"/>
    </row>
    <row r="727" spans="1:11" ht="25.5" x14ac:dyDescent="0.2">
      <c r="A727" s="220" t="s">
        <v>1608</v>
      </c>
      <c r="B727" s="224" t="s">
        <v>1982</v>
      </c>
      <c r="C727" s="20" t="s">
        <v>686</v>
      </c>
      <c r="D727" s="136" t="s">
        <v>577</v>
      </c>
      <c r="E727" s="12" t="s">
        <v>301</v>
      </c>
      <c r="F727" s="70">
        <v>6</v>
      </c>
      <c r="G727" s="70">
        <v>4</v>
      </c>
      <c r="H727" s="70">
        <v>4</v>
      </c>
      <c r="I727" s="70">
        <v>4</v>
      </c>
      <c r="J727" s="70">
        <v>4</v>
      </c>
      <c r="K727" s="10"/>
    </row>
    <row r="728" spans="1:11" ht="15.75" x14ac:dyDescent="0.2">
      <c r="A728" s="221"/>
      <c r="B728" s="225"/>
      <c r="C728" s="13" t="s">
        <v>578</v>
      </c>
      <c r="D728" s="136" t="s">
        <v>579</v>
      </c>
      <c r="E728" s="14" t="s">
        <v>303</v>
      </c>
      <c r="F728" s="21">
        <v>7598.49</v>
      </c>
      <c r="G728" s="21">
        <v>1063.08</v>
      </c>
      <c r="H728" s="21">
        <v>1091.4281157024793</v>
      </c>
      <c r="I728" s="21">
        <v>1103.6120454545453</v>
      </c>
      <c r="J728" s="21">
        <v>1446.0028719008262</v>
      </c>
      <c r="K728" s="10"/>
    </row>
    <row r="729" spans="1:11" ht="25.5" x14ac:dyDescent="0.2">
      <c r="A729" s="220" t="s">
        <v>1609</v>
      </c>
      <c r="B729" s="224" t="s">
        <v>1983</v>
      </c>
      <c r="C729" s="20" t="s">
        <v>687</v>
      </c>
      <c r="D729" s="136" t="s">
        <v>577</v>
      </c>
      <c r="E729" s="12" t="s">
        <v>301</v>
      </c>
      <c r="F729" s="70">
        <v>25</v>
      </c>
      <c r="G729" s="70">
        <v>18</v>
      </c>
      <c r="H729" s="70">
        <v>18</v>
      </c>
      <c r="I729" s="70">
        <v>18</v>
      </c>
      <c r="J729" s="70">
        <v>18</v>
      </c>
      <c r="K729" s="10"/>
    </row>
    <row r="730" spans="1:11" ht="15.75" x14ac:dyDescent="0.2">
      <c r="A730" s="221"/>
      <c r="B730" s="225"/>
      <c r="C730" s="13" t="s">
        <v>578</v>
      </c>
      <c r="D730" s="136" t="s">
        <v>579</v>
      </c>
      <c r="E730" s="14" t="s">
        <v>303</v>
      </c>
      <c r="F730" s="21">
        <v>5890.083333333333</v>
      </c>
      <c r="G730" s="21">
        <v>2910.93</v>
      </c>
      <c r="H730" s="21">
        <v>2939.2781157024792</v>
      </c>
      <c r="I730" s="21">
        <v>2951.4620454545457</v>
      </c>
      <c r="J730" s="21">
        <v>3293.8528719008268</v>
      </c>
      <c r="K730" s="10"/>
    </row>
    <row r="731" spans="1:11" ht="25.5" x14ac:dyDescent="0.2">
      <c r="A731" s="220" t="s">
        <v>1610</v>
      </c>
      <c r="B731" s="224" t="s">
        <v>1984</v>
      </c>
      <c r="C731" s="20" t="s">
        <v>688</v>
      </c>
      <c r="D731" s="136" t="s">
        <v>577</v>
      </c>
      <c r="E731" s="12" t="s">
        <v>301</v>
      </c>
      <c r="F731" s="70">
        <v>125</v>
      </c>
      <c r="G731" s="70">
        <v>146</v>
      </c>
      <c r="H731" s="70">
        <v>146</v>
      </c>
      <c r="I731" s="70">
        <v>146</v>
      </c>
      <c r="J731" s="70">
        <v>146</v>
      </c>
      <c r="K731" s="10"/>
    </row>
    <row r="732" spans="1:11" ht="15.75" x14ac:dyDescent="0.2">
      <c r="A732" s="221"/>
      <c r="B732" s="225"/>
      <c r="C732" s="13" t="s">
        <v>578</v>
      </c>
      <c r="D732" s="136" t="s">
        <v>579</v>
      </c>
      <c r="E732" s="14" t="s">
        <v>303</v>
      </c>
      <c r="F732" s="21">
        <v>3744.09</v>
      </c>
      <c r="G732" s="21">
        <v>11732.98</v>
      </c>
      <c r="H732" s="21">
        <v>11761.328115702479</v>
      </c>
      <c r="I732" s="21">
        <v>11773.512045454543</v>
      </c>
      <c r="J732" s="21">
        <v>12115.902871900824</v>
      </c>
      <c r="K732" s="10"/>
    </row>
    <row r="733" spans="1:11" ht="25.5" x14ac:dyDescent="0.2">
      <c r="A733" s="220" t="s">
        <v>1611</v>
      </c>
      <c r="B733" s="224" t="s">
        <v>1985</v>
      </c>
      <c r="C733" s="20" t="s">
        <v>689</v>
      </c>
      <c r="D733" s="136" t="s">
        <v>577</v>
      </c>
      <c r="E733" s="12" t="s">
        <v>301</v>
      </c>
      <c r="F733" s="70">
        <v>184</v>
      </c>
      <c r="G733" s="70">
        <v>174</v>
      </c>
      <c r="H733" s="70">
        <v>174</v>
      </c>
      <c r="I733" s="70">
        <v>174</v>
      </c>
      <c r="J733" s="70">
        <v>174</v>
      </c>
      <c r="K733" s="10"/>
    </row>
    <row r="734" spans="1:11" ht="15.75" x14ac:dyDescent="0.2">
      <c r="A734" s="221"/>
      <c r="B734" s="225"/>
      <c r="C734" s="13" t="s">
        <v>578</v>
      </c>
      <c r="D734" s="136" t="s">
        <v>579</v>
      </c>
      <c r="E734" s="14" t="s">
        <v>303</v>
      </c>
      <c r="F734" s="21">
        <v>7641.82</v>
      </c>
      <c r="G734" s="21">
        <v>3851.09</v>
      </c>
      <c r="H734" s="21">
        <v>3879.4381157024795</v>
      </c>
      <c r="I734" s="21">
        <v>3891.622045454546</v>
      </c>
      <c r="J734" s="21">
        <v>4234.0128719008271</v>
      </c>
      <c r="K734" s="10"/>
    </row>
    <row r="735" spans="1:11" ht="25.5" x14ac:dyDescent="0.2">
      <c r="A735" s="220" t="s">
        <v>1612</v>
      </c>
      <c r="B735" s="224" t="s">
        <v>1986</v>
      </c>
      <c r="C735" s="20" t="s">
        <v>690</v>
      </c>
      <c r="D735" s="136" t="s">
        <v>577</v>
      </c>
      <c r="E735" s="12" t="s">
        <v>301</v>
      </c>
      <c r="F735" s="70">
        <v>24</v>
      </c>
      <c r="G735" s="70">
        <v>24</v>
      </c>
      <c r="H735" s="70">
        <v>24</v>
      </c>
      <c r="I735" s="70">
        <v>24</v>
      </c>
      <c r="J735" s="70">
        <v>24</v>
      </c>
      <c r="K735" s="10"/>
    </row>
    <row r="736" spans="1:11" ht="15.75" x14ac:dyDescent="0.2">
      <c r="A736" s="221"/>
      <c r="B736" s="225"/>
      <c r="C736" s="13" t="s">
        <v>578</v>
      </c>
      <c r="D736" s="136" t="s">
        <v>579</v>
      </c>
      <c r="E736" s="14" t="s">
        <v>303</v>
      </c>
      <c r="F736" s="21">
        <v>716.59</v>
      </c>
      <c r="G736" s="21">
        <v>504.87</v>
      </c>
      <c r="H736" s="21">
        <v>533.21811570247928</v>
      </c>
      <c r="I736" s="21">
        <v>545.40204545454537</v>
      </c>
      <c r="J736" s="21">
        <v>887.79287190082641</v>
      </c>
      <c r="K736" s="10"/>
    </row>
    <row r="737" spans="1:11" ht="25.5" x14ac:dyDescent="0.2">
      <c r="A737" s="220" t="s">
        <v>1613</v>
      </c>
      <c r="B737" s="224" t="s">
        <v>1987</v>
      </c>
      <c r="C737" s="20" t="s">
        <v>691</v>
      </c>
      <c r="D737" s="136" t="s">
        <v>577</v>
      </c>
      <c r="E737" s="12" t="s">
        <v>301</v>
      </c>
      <c r="F737" s="70">
        <v>30</v>
      </c>
      <c r="G737" s="70">
        <v>90</v>
      </c>
      <c r="H737" s="70">
        <v>90</v>
      </c>
      <c r="I737" s="70">
        <v>90</v>
      </c>
      <c r="J737" s="70">
        <v>90</v>
      </c>
      <c r="K737" s="10"/>
    </row>
    <row r="738" spans="1:11" ht="15.75" x14ac:dyDescent="0.2">
      <c r="A738" s="221"/>
      <c r="B738" s="225"/>
      <c r="C738" s="13" t="s">
        <v>578</v>
      </c>
      <c r="D738" s="136" t="s">
        <v>579</v>
      </c>
      <c r="E738" s="14" t="s">
        <v>303</v>
      </c>
      <c r="F738" s="21">
        <v>338.86</v>
      </c>
      <c r="G738" s="21">
        <v>88.81</v>
      </c>
      <c r="H738" s="21">
        <v>117.15811570247934</v>
      </c>
      <c r="I738" s="21">
        <v>129.34204545454546</v>
      </c>
      <c r="J738" s="21">
        <v>471.73287190082647</v>
      </c>
      <c r="K738" s="10"/>
    </row>
    <row r="739" spans="1:11" ht="25.5" x14ac:dyDescent="0.2">
      <c r="A739" s="220" t="s">
        <v>1614</v>
      </c>
      <c r="B739" s="224" t="s">
        <v>1988</v>
      </c>
      <c r="C739" s="74" t="s">
        <v>692</v>
      </c>
      <c r="D739" s="136" t="s">
        <v>577</v>
      </c>
      <c r="E739" s="12" t="s">
        <v>301</v>
      </c>
      <c r="F739" s="70">
        <v>94</v>
      </c>
      <c r="G739" s="70">
        <v>4</v>
      </c>
      <c r="H739" s="70">
        <v>4</v>
      </c>
      <c r="I739" s="70">
        <v>4</v>
      </c>
      <c r="J739" s="70">
        <v>4</v>
      </c>
      <c r="K739" s="10"/>
    </row>
    <row r="740" spans="1:11" ht="15.75" x14ac:dyDescent="0.2">
      <c r="A740" s="221"/>
      <c r="B740" s="225"/>
      <c r="C740" s="13" t="s">
        <v>578</v>
      </c>
      <c r="D740" s="136" t="s">
        <v>579</v>
      </c>
      <c r="E740" s="14" t="s">
        <v>303</v>
      </c>
      <c r="F740" s="21">
        <v>2718.07</v>
      </c>
      <c r="G740" s="21">
        <v>70.7</v>
      </c>
      <c r="H740" s="21">
        <v>99.048115702479336</v>
      </c>
      <c r="I740" s="21">
        <v>111.23204545454544</v>
      </c>
      <c r="J740" s="21">
        <v>453.62287190082645</v>
      </c>
      <c r="K740" s="10"/>
    </row>
    <row r="741" spans="1:11" ht="25.5" x14ac:dyDescent="0.2">
      <c r="A741" s="220" t="s">
        <v>1615</v>
      </c>
      <c r="B741" s="224" t="s">
        <v>1989</v>
      </c>
      <c r="C741" s="74" t="s">
        <v>693</v>
      </c>
      <c r="D741" s="136" t="s">
        <v>577</v>
      </c>
      <c r="E741" s="12" t="s">
        <v>301</v>
      </c>
      <c r="F741" s="70">
        <v>4</v>
      </c>
      <c r="G741" s="70">
        <v>73</v>
      </c>
      <c r="H741" s="70">
        <v>73</v>
      </c>
      <c r="I741" s="70">
        <v>73</v>
      </c>
      <c r="J741" s="70">
        <v>73</v>
      </c>
      <c r="K741" s="10"/>
    </row>
    <row r="742" spans="1:11" ht="15.75" x14ac:dyDescent="0.2">
      <c r="A742" s="221"/>
      <c r="B742" s="225"/>
      <c r="C742" s="13" t="s">
        <v>578</v>
      </c>
      <c r="D742" s="136" t="s">
        <v>579</v>
      </c>
      <c r="E742" s="14" t="s">
        <v>303</v>
      </c>
      <c r="F742" s="21">
        <v>3260.27</v>
      </c>
      <c r="G742" s="21">
        <v>1642.71</v>
      </c>
      <c r="H742" s="21">
        <v>1671.0581157024794</v>
      </c>
      <c r="I742" s="21">
        <v>1683.2420454545454</v>
      </c>
      <c r="J742" s="21">
        <v>2025.6328719008263</v>
      </c>
      <c r="K742" s="10"/>
    </row>
    <row r="743" spans="1:11" ht="25.5" x14ac:dyDescent="0.2">
      <c r="A743" s="220" t="s">
        <v>1616</v>
      </c>
      <c r="B743" s="224" t="s">
        <v>1992</v>
      </c>
      <c r="C743" s="74" t="s">
        <v>694</v>
      </c>
      <c r="D743" s="136" t="s">
        <v>577</v>
      </c>
      <c r="E743" s="12" t="s">
        <v>301</v>
      </c>
      <c r="F743" s="70">
        <v>73</v>
      </c>
      <c r="G743" s="70">
        <v>94</v>
      </c>
      <c r="H743" s="70">
        <v>94</v>
      </c>
      <c r="I743" s="70">
        <v>94</v>
      </c>
      <c r="J743" s="70">
        <v>94</v>
      </c>
      <c r="K743" s="10"/>
    </row>
    <row r="744" spans="1:11" ht="15.75" x14ac:dyDescent="0.2">
      <c r="A744" s="221"/>
      <c r="B744" s="225"/>
      <c r="C744" s="13" t="s">
        <v>578</v>
      </c>
      <c r="D744" s="136" t="s">
        <v>579</v>
      </c>
      <c r="E744" s="14" t="s">
        <v>303</v>
      </c>
      <c r="F744" s="21">
        <v>3018.87</v>
      </c>
      <c r="G744" s="21">
        <v>2575.38</v>
      </c>
      <c r="H744" s="21">
        <v>2603.7281157024795</v>
      </c>
      <c r="I744" s="21">
        <v>2615.9120454545459</v>
      </c>
      <c r="J744" s="21">
        <v>2958.3028719008271</v>
      </c>
      <c r="K744" s="10"/>
    </row>
    <row r="745" spans="1:11" ht="25.5" x14ac:dyDescent="0.2">
      <c r="A745" s="220" t="s">
        <v>1617</v>
      </c>
      <c r="B745" s="224" t="s">
        <v>1990</v>
      </c>
      <c r="C745" s="20" t="s">
        <v>695</v>
      </c>
      <c r="D745" s="136" t="s">
        <v>577</v>
      </c>
      <c r="E745" s="12" t="s">
        <v>301</v>
      </c>
      <c r="F745" s="70">
        <v>138</v>
      </c>
      <c r="G745" s="70">
        <v>138</v>
      </c>
      <c r="H745" s="70">
        <v>138</v>
      </c>
      <c r="I745" s="70">
        <v>138</v>
      </c>
      <c r="J745" s="70">
        <v>138</v>
      </c>
      <c r="K745" s="10"/>
    </row>
    <row r="746" spans="1:11" ht="15.75" x14ac:dyDescent="0.2">
      <c r="A746" s="221"/>
      <c r="B746" s="225"/>
      <c r="C746" s="13" t="s">
        <v>578</v>
      </c>
      <c r="D746" s="136" t="s">
        <v>579</v>
      </c>
      <c r="E746" s="14" t="s">
        <v>303</v>
      </c>
      <c r="F746" s="21">
        <v>3982.5</v>
      </c>
      <c r="G746" s="21">
        <v>7246.47</v>
      </c>
      <c r="H746" s="21">
        <v>7274.8181157024792</v>
      </c>
      <c r="I746" s="21">
        <v>7287.0020454545456</v>
      </c>
      <c r="J746" s="21">
        <v>7629.3928719008263</v>
      </c>
      <c r="K746" s="10"/>
    </row>
    <row r="747" spans="1:11" ht="25.5" x14ac:dyDescent="0.2">
      <c r="A747" s="220" t="s">
        <v>1618</v>
      </c>
      <c r="B747" s="224" t="s">
        <v>1991</v>
      </c>
      <c r="C747" s="74" t="s">
        <v>696</v>
      </c>
      <c r="D747" s="136" t="s">
        <v>577</v>
      </c>
      <c r="E747" s="12" t="s">
        <v>301</v>
      </c>
      <c r="F747" s="70">
        <v>250</v>
      </c>
      <c r="G747" s="70">
        <v>250</v>
      </c>
      <c r="H747" s="70">
        <v>250</v>
      </c>
      <c r="I747" s="70">
        <v>250</v>
      </c>
      <c r="J747" s="70">
        <v>250</v>
      </c>
      <c r="K747" s="10"/>
    </row>
    <row r="748" spans="1:11" ht="15.75" x14ac:dyDescent="0.2">
      <c r="A748" s="221"/>
      <c r="B748" s="225"/>
      <c r="C748" s="13" t="s">
        <v>578</v>
      </c>
      <c r="D748" s="136" t="s">
        <v>579</v>
      </c>
      <c r="E748" s="14" t="s">
        <v>303</v>
      </c>
      <c r="F748" s="21">
        <v>3928.7</v>
      </c>
      <c r="G748" s="21">
        <v>3418.51</v>
      </c>
      <c r="H748" s="21">
        <v>3446.8581157024796</v>
      </c>
      <c r="I748" s="21">
        <v>3459.042045454546</v>
      </c>
      <c r="J748" s="21">
        <v>3801.4328719008272</v>
      </c>
      <c r="K748" s="10"/>
    </row>
    <row r="749" spans="1:11" ht="25.5" x14ac:dyDescent="0.2">
      <c r="A749" s="220" t="s">
        <v>1619</v>
      </c>
      <c r="B749" s="224" t="s">
        <v>1887</v>
      </c>
      <c r="C749" s="20" t="s">
        <v>594</v>
      </c>
      <c r="D749" s="136" t="s">
        <v>577</v>
      </c>
      <c r="E749" s="12" t="s">
        <v>301</v>
      </c>
      <c r="F749" s="70">
        <v>24</v>
      </c>
      <c r="G749" s="70">
        <v>24</v>
      </c>
      <c r="H749" s="70">
        <v>24</v>
      </c>
      <c r="I749" s="70">
        <v>24</v>
      </c>
      <c r="J749" s="70">
        <v>24</v>
      </c>
      <c r="K749" s="10"/>
    </row>
    <row r="750" spans="1:11" ht="15.75" x14ac:dyDescent="0.2">
      <c r="A750" s="221"/>
      <c r="B750" s="225"/>
      <c r="C750" s="19" t="s">
        <v>698</v>
      </c>
      <c r="D750" s="136" t="s">
        <v>579</v>
      </c>
      <c r="E750" s="19" t="s">
        <v>303</v>
      </c>
      <c r="F750" s="21">
        <v>7785.576</v>
      </c>
      <c r="G750" s="21">
        <v>1280.08</v>
      </c>
      <c r="H750" s="21">
        <v>1232.7919285714286</v>
      </c>
      <c r="I750" s="21">
        <v>1343.9617892857141</v>
      </c>
      <c r="J750" s="21">
        <v>2067.9667892857142</v>
      </c>
      <c r="K750" s="10"/>
    </row>
    <row r="751" spans="1:11" ht="25.5" x14ac:dyDescent="0.2">
      <c r="A751" s="220" t="s">
        <v>1620</v>
      </c>
      <c r="B751" s="224" t="s">
        <v>1889</v>
      </c>
      <c r="C751" s="20" t="s">
        <v>596</v>
      </c>
      <c r="D751" s="136" t="s">
        <v>577</v>
      </c>
      <c r="E751" s="19"/>
      <c r="F751" s="70">
        <v>1</v>
      </c>
      <c r="G751" s="70">
        <v>1</v>
      </c>
      <c r="H751" s="70">
        <v>1</v>
      </c>
      <c r="I751" s="70">
        <v>1</v>
      </c>
      <c r="J751" s="70">
        <v>1</v>
      </c>
      <c r="K751" s="10"/>
    </row>
    <row r="752" spans="1:11" ht="15.75" x14ac:dyDescent="0.2">
      <c r="A752" s="221"/>
      <c r="B752" s="225"/>
      <c r="C752" s="19" t="s">
        <v>698</v>
      </c>
      <c r="D752" s="136" t="s">
        <v>579</v>
      </c>
      <c r="E752" s="19" t="s">
        <v>303</v>
      </c>
      <c r="F752" s="21">
        <v>7269.11</v>
      </c>
      <c r="G752" s="21">
        <v>225.51570000000001</v>
      </c>
      <c r="H752" s="21">
        <v>178.22762857142857</v>
      </c>
      <c r="I752" s="21">
        <v>289.39748928571407</v>
      </c>
      <c r="J752" s="21">
        <v>1013.4024892857141</v>
      </c>
      <c r="K752" s="10"/>
    </row>
    <row r="753" spans="1:11" ht="25.5" x14ac:dyDescent="0.2">
      <c r="A753" s="220" t="s">
        <v>1621</v>
      </c>
      <c r="B753" s="224" t="s">
        <v>1993</v>
      </c>
      <c r="C753" s="20" t="s">
        <v>701</v>
      </c>
      <c r="D753" s="136" t="s">
        <v>577</v>
      </c>
      <c r="E753" s="12" t="s">
        <v>301</v>
      </c>
      <c r="F753" s="70">
        <v>1</v>
      </c>
      <c r="G753" s="70">
        <v>1</v>
      </c>
      <c r="H753" s="70">
        <v>1</v>
      </c>
      <c r="I753" s="70">
        <v>1</v>
      </c>
      <c r="J753" s="70">
        <v>1</v>
      </c>
      <c r="K753" s="10"/>
    </row>
    <row r="754" spans="1:11" ht="15.75" x14ac:dyDescent="0.2">
      <c r="A754" s="221"/>
      <c r="B754" s="225"/>
      <c r="C754" s="19" t="s">
        <v>698</v>
      </c>
      <c r="D754" s="136" t="s">
        <v>579</v>
      </c>
      <c r="E754" s="14" t="s">
        <v>303</v>
      </c>
      <c r="F754" s="21">
        <v>685.75</v>
      </c>
      <c r="G754" s="21">
        <v>226.91840000000002</v>
      </c>
      <c r="H754" s="21">
        <v>179.63032857142861</v>
      </c>
      <c r="I754" s="21">
        <v>290.80018928571411</v>
      </c>
      <c r="J754" s="21">
        <v>1014.8051892857141</v>
      </c>
      <c r="K754" s="10"/>
    </row>
    <row r="755" spans="1:11" ht="25.5" x14ac:dyDescent="0.2">
      <c r="A755" s="220" t="s">
        <v>1622</v>
      </c>
      <c r="B755" s="224" t="s">
        <v>1994</v>
      </c>
      <c r="C755" s="20" t="s">
        <v>703</v>
      </c>
      <c r="D755" s="136" t="s">
        <v>577</v>
      </c>
      <c r="E755" s="12" t="s">
        <v>301</v>
      </c>
      <c r="F755" s="70">
        <v>4</v>
      </c>
      <c r="G755" s="70">
        <v>4</v>
      </c>
      <c r="H755" s="70">
        <v>4</v>
      </c>
      <c r="I755" s="70">
        <v>4</v>
      </c>
      <c r="J755" s="70">
        <v>4</v>
      </c>
      <c r="K755" s="10"/>
    </row>
    <row r="756" spans="1:11" ht="15.75" x14ac:dyDescent="0.2">
      <c r="A756" s="221"/>
      <c r="B756" s="225"/>
      <c r="C756" s="19" t="s">
        <v>698</v>
      </c>
      <c r="D756" s="136" t="s">
        <v>579</v>
      </c>
      <c r="E756" s="14" t="s">
        <v>303</v>
      </c>
      <c r="F756" s="21">
        <v>454.69000000000011</v>
      </c>
      <c r="G756" s="21">
        <v>472.06280000000004</v>
      </c>
      <c r="H756" s="21">
        <v>424.77472857142862</v>
      </c>
      <c r="I756" s="21">
        <v>535.94458928571407</v>
      </c>
      <c r="J756" s="21">
        <v>1259.949589285714</v>
      </c>
      <c r="K756" s="10"/>
    </row>
    <row r="757" spans="1:11" ht="25.5" x14ac:dyDescent="0.2">
      <c r="A757" s="220" t="s">
        <v>1623</v>
      </c>
      <c r="B757" s="224" t="s">
        <v>1995</v>
      </c>
      <c r="C757" s="20" t="s">
        <v>704</v>
      </c>
      <c r="D757" s="136" t="s">
        <v>577</v>
      </c>
      <c r="E757" s="12" t="s">
        <v>301</v>
      </c>
      <c r="F757" s="70">
        <v>13</v>
      </c>
      <c r="G757" s="70">
        <v>40</v>
      </c>
      <c r="H757" s="70">
        <v>40</v>
      </c>
      <c r="I757" s="70">
        <v>40</v>
      </c>
      <c r="J757" s="70">
        <v>40</v>
      </c>
      <c r="K757" s="10"/>
    </row>
    <row r="758" spans="1:11" ht="15.75" x14ac:dyDescent="0.2">
      <c r="A758" s="221"/>
      <c r="B758" s="225"/>
      <c r="C758" s="19" t="s">
        <v>698</v>
      </c>
      <c r="D758" s="136" t="s">
        <v>579</v>
      </c>
      <c r="E758" s="14" t="s">
        <v>303</v>
      </c>
      <c r="F758" s="21">
        <v>3734.2066666666669</v>
      </c>
      <c r="G758" s="21">
        <v>2464.0920000000001</v>
      </c>
      <c r="H758" s="21">
        <v>2416.8039285714285</v>
      </c>
      <c r="I758" s="21">
        <v>2527.9737892857142</v>
      </c>
      <c r="J758" s="21">
        <v>3251.9787892857144</v>
      </c>
      <c r="K758" s="10"/>
    </row>
    <row r="759" spans="1:11" ht="25.5" x14ac:dyDescent="0.2">
      <c r="A759" s="220" t="s">
        <v>1624</v>
      </c>
      <c r="B759" s="224" t="s">
        <v>1918</v>
      </c>
      <c r="C759" s="20" t="s">
        <v>625</v>
      </c>
      <c r="D759" s="136" t="s">
        <v>577</v>
      </c>
      <c r="E759" s="12" t="s">
        <v>301</v>
      </c>
      <c r="F759" s="70">
        <v>1</v>
      </c>
      <c r="G759" s="70">
        <v>15</v>
      </c>
      <c r="H759" s="70">
        <v>15</v>
      </c>
      <c r="I759" s="70">
        <v>15</v>
      </c>
      <c r="J759" s="70">
        <v>15</v>
      </c>
      <c r="K759" s="10"/>
    </row>
    <row r="760" spans="1:11" ht="15.75" x14ac:dyDescent="0.2">
      <c r="A760" s="221"/>
      <c r="B760" s="225"/>
      <c r="C760" s="19" t="s">
        <v>698</v>
      </c>
      <c r="D760" s="136" t="s">
        <v>579</v>
      </c>
      <c r="E760" s="14" t="s">
        <v>303</v>
      </c>
      <c r="F760" s="21">
        <v>1075.8800000000001</v>
      </c>
      <c r="G760" s="21">
        <v>923.72400000000005</v>
      </c>
      <c r="H760" s="21">
        <v>876.43592857142858</v>
      </c>
      <c r="I760" s="21">
        <v>987.60578928571408</v>
      </c>
      <c r="J760" s="21">
        <v>1711.610789285714</v>
      </c>
      <c r="K760" s="10"/>
    </row>
    <row r="761" spans="1:11" ht="25.5" x14ac:dyDescent="0.2">
      <c r="A761" s="220" t="s">
        <v>1625</v>
      </c>
      <c r="B761" s="224" t="s">
        <v>1996</v>
      </c>
      <c r="C761" s="20" t="s">
        <v>705</v>
      </c>
      <c r="D761" s="136" t="s">
        <v>577</v>
      </c>
      <c r="E761" s="12" t="s">
        <v>301</v>
      </c>
      <c r="F761" s="70">
        <v>13</v>
      </c>
      <c r="G761" s="70">
        <v>1</v>
      </c>
      <c r="H761" s="70">
        <v>1</v>
      </c>
      <c r="I761" s="70">
        <v>1</v>
      </c>
      <c r="J761" s="70">
        <v>1</v>
      </c>
      <c r="K761" s="10"/>
    </row>
    <row r="762" spans="1:11" ht="15.75" x14ac:dyDescent="0.2">
      <c r="A762" s="221"/>
      <c r="B762" s="225"/>
      <c r="C762" s="19" t="s">
        <v>698</v>
      </c>
      <c r="D762" s="136" t="s">
        <v>579</v>
      </c>
      <c r="E762" s="14" t="s">
        <v>303</v>
      </c>
      <c r="F762" s="21">
        <v>4632.6626666666662</v>
      </c>
      <c r="G762" s="21">
        <v>185.7825</v>
      </c>
      <c r="H762" s="21">
        <v>138.49442857142856</v>
      </c>
      <c r="I762" s="21">
        <v>249.66428928571406</v>
      </c>
      <c r="J762" s="21">
        <v>973.66928928571406</v>
      </c>
      <c r="K762" s="10"/>
    </row>
    <row r="763" spans="1:11" ht="25.5" x14ac:dyDescent="0.2">
      <c r="A763" s="220" t="s">
        <v>1626</v>
      </c>
      <c r="B763" s="224" t="s">
        <v>1926</v>
      </c>
      <c r="C763" s="20" t="s">
        <v>633</v>
      </c>
      <c r="D763" s="136" t="s">
        <v>577</v>
      </c>
      <c r="E763" s="12" t="s">
        <v>301</v>
      </c>
      <c r="F763" s="70">
        <v>22</v>
      </c>
      <c r="G763" s="70">
        <v>24</v>
      </c>
      <c r="H763" s="70">
        <v>24</v>
      </c>
      <c r="I763" s="70">
        <v>24</v>
      </c>
      <c r="J763" s="70">
        <v>24</v>
      </c>
      <c r="K763" s="10"/>
    </row>
    <row r="764" spans="1:11" ht="15.75" x14ac:dyDescent="0.2">
      <c r="A764" s="221"/>
      <c r="B764" s="225"/>
      <c r="C764" s="19" t="s">
        <v>698</v>
      </c>
      <c r="D764" s="136" t="s">
        <v>579</v>
      </c>
      <c r="E764" s="14" t="s">
        <v>303</v>
      </c>
      <c r="F764" s="21">
        <v>1280.3724999999999</v>
      </c>
      <c r="G764" s="21">
        <v>1181.7288000000001</v>
      </c>
      <c r="H764" s="21">
        <v>1134.4407285714287</v>
      </c>
      <c r="I764" s="21">
        <v>1245.6105892857142</v>
      </c>
      <c r="J764" s="21">
        <v>1969.6155892857141</v>
      </c>
      <c r="K764" s="10"/>
    </row>
    <row r="765" spans="1:11" ht="25.5" x14ac:dyDescent="0.2">
      <c r="A765" s="220" t="s">
        <v>1627</v>
      </c>
      <c r="B765" s="224" t="s">
        <v>1951</v>
      </c>
      <c r="C765" s="20" t="s">
        <v>622</v>
      </c>
      <c r="D765" s="136" t="s">
        <v>577</v>
      </c>
      <c r="E765" s="12" t="s">
        <v>301</v>
      </c>
      <c r="F765" s="70">
        <v>4</v>
      </c>
      <c r="G765" s="70" t="s">
        <v>780</v>
      </c>
      <c r="H765" s="70" t="s">
        <v>780</v>
      </c>
      <c r="I765" s="70" t="s">
        <v>780</v>
      </c>
      <c r="J765" s="70" t="s">
        <v>780</v>
      </c>
      <c r="K765" s="10"/>
    </row>
    <row r="766" spans="1:11" ht="15.75" x14ac:dyDescent="0.2">
      <c r="A766" s="221"/>
      <c r="B766" s="225"/>
      <c r="C766" s="19" t="s">
        <v>698</v>
      </c>
      <c r="D766" s="136" t="s">
        <v>579</v>
      </c>
      <c r="E766" s="14" t="s">
        <v>303</v>
      </c>
      <c r="F766" s="21">
        <v>454.69000000000011</v>
      </c>
      <c r="G766" s="21" t="s">
        <v>780</v>
      </c>
      <c r="H766" s="21" t="s">
        <v>780</v>
      </c>
      <c r="I766" s="21" t="s">
        <v>780</v>
      </c>
      <c r="J766" s="21" t="s">
        <v>780</v>
      </c>
      <c r="K766" s="10"/>
    </row>
    <row r="767" spans="1:11" ht="25.5" x14ac:dyDescent="0.2">
      <c r="A767" s="220" t="s">
        <v>1628</v>
      </c>
      <c r="B767" s="224" t="s">
        <v>1952</v>
      </c>
      <c r="C767" s="20" t="s">
        <v>657</v>
      </c>
      <c r="D767" s="136" t="s">
        <v>577</v>
      </c>
      <c r="E767" s="12" t="s">
        <v>301</v>
      </c>
      <c r="F767" s="70">
        <v>20</v>
      </c>
      <c r="G767" s="70" t="s">
        <v>780</v>
      </c>
      <c r="H767" s="70" t="s">
        <v>780</v>
      </c>
      <c r="I767" s="70" t="s">
        <v>780</v>
      </c>
      <c r="J767" s="70" t="s">
        <v>780</v>
      </c>
      <c r="K767" s="10"/>
    </row>
    <row r="768" spans="1:11" ht="15.75" x14ac:dyDescent="0.2">
      <c r="A768" s="221"/>
      <c r="B768" s="225"/>
      <c r="C768" s="19" t="s">
        <v>698</v>
      </c>
      <c r="D768" s="136" t="s">
        <v>579</v>
      </c>
      <c r="E768" s="14" t="s">
        <v>303</v>
      </c>
      <c r="F768" s="21">
        <v>5129.6235294117641</v>
      </c>
      <c r="G768" s="21" t="s">
        <v>780</v>
      </c>
      <c r="H768" s="21" t="s">
        <v>780</v>
      </c>
      <c r="I768" s="21" t="s">
        <v>780</v>
      </c>
      <c r="J768" s="21" t="s">
        <v>780</v>
      </c>
      <c r="K768" s="10"/>
    </row>
    <row r="769" spans="1:11" ht="25.5" x14ac:dyDescent="0.2">
      <c r="A769" s="220" t="s">
        <v>1629</v>
      </c>
      <c r="B769" s="224" t="s">
        <v>1972</v>
      </c>
      <c r="C769" s="20" t="s">
        <v>676</v>
      </c>
      <c r="D769" s="136" t="s">
        <v>577</v>
      </c>
      <c r="E769" s="12" t="s">
        <v>301</v>
      </c>
      <c r="F769" s="70">
        <v>1</v>
      </c>
      <c r="G769" s="70">
        <v>1</v>
      </c>
      <c r="H769" s="70">
        <v>1</v>
      </c>
      <c r="I769" s="70">
        <v>1</v>
      </c>
      <c r="J769" s="70">
        <v>1</v>
      </c>
      <c r="K769" s="10"/>
    </row>
    <row r="770" spans="1:11" ht="15.75" x14ac:dyDescent="0.2">
      <c r="A770" s="221"/>
      <c r="B770" s="225"/>
      <c r="C770" s="19" t="s">
        <v>698</v>
      </c>
      <c r="D770" s="136" t="s">
        <v>579</v>
      </c>
      <c r="E770" s="14" t="s">
        <v>303</v>
      </c>
      <c r="F770" s="21">
        <v>443.18000000000006</v>
      </c>
      <c r="G770" s="21">
        <v>278.29899999999998</v>
      </c>
      <c r="H770" s="21">
        <v>231.01092857142856</v>
      </c>
      <c r="I770" s="21">
        <v>342.18078928571407</v>
      </c>
      <c r="J770" s="21">
        <v>1066.185789285714</v>
      </c>
      <c r="K770" s="10"/>
    </row>
    <row r="771" spans="1:11" ht="25.5" x14ac:dyDescent="0.2">
      <c r="A771" s="220" t="s">
        <v>1630</v>
      </c>
      <c r="B771" s="224" t="s">
        <v>1997</v>
      </c>
      <c r="C771" s="20" t="s">
        <v>706</v>
      </c>
      <c r="D771" s="136" t="s">
        <v>577</v>
      </c>
      <c r="E771" s="12" t="s">
        <v>301</v>
      </c>
      <c r="F771" s="70">
        <v>5</v>
      </c>
      <c r="G771" s="70">
        <v>5</v>
      </c>
      <c r="H771" s="70">
        <v>5</v>
      </c>
      <c r="I771" s="70">
        <v>5</v>
      </c>
      <c r="J771" s="70">
        <v>5</v>
      </c>
      <c r="K771" s="10"/>
    </row>
    <row r="772" spans="1:11" ht="15.75" x14ac:dyDescent="0.2">
      <c r="A772" s="221"/>
      <c r="B772" s="225"/>
      <c r="C772" s="19" t="s">
        <v>698</v>
      </c>
      <c r="D772" s="136" t="s">
        <v>579</v>
      </c>
      <c r="E772" s="14" t="s">
        <v>303</v>
      </c>
      <c r="F772" s="21">
        <v>886.48000000000013</v>
      </c>
      <c r="G772" s="21">
        <v>726.19000000000017</v>
      </c>
      <c r="H772" s="21">
        <v>678.9019285714287</v>
      </c>
      <c r="I772" s="21">
        <v>790.0717892857142</v>
      </c>
      <c r="J772" s="21">
        <v>1514.0767892857143</v>
      </c>
      <c r="K772" s="10"/>
    </row>
    <row r="773" spans="1:11" ht="25.5" x14ac:dyDescent="0.2">
      <c r="A773" s="220" t="s">
        <v>1631</v>
      </c>
      <c r="B773" s="224" t="s">
        <v>1973</v>
      </c>
      <c r="C773" s="20" t="s">
        <v>677</v>
      </c>
      <c r="D773" s="136" t="s">
        <v>577</v>
      </c>
      <c r="E773" s="12" t="s">
        <v>301</v>
      </c>
      <c r="F773" s="70">
        <v>8</v>
      </c>
      <c r="G773" s="70">
        <v>10</v>
      </c>
      <c r="H773" s="70">
        <v>10</v>
      </c>
      <c r="I773" s="70">
        <v>10</v>
      </c>
      <c r="J773" s="70">
        <v>10</v>
      </c>
      <c r="K773" s="10"/>
    </row>
    <row r="774" spans="1:11" ht="15.75" x14ac:dyDescent="0.2">
      <c r="A774" s="221"/>
      <c r="B774" s="225"/>
      <c r="C774" s="19" t="s">
        <v>698</v>
      </c>
      <c r="D774" s="136" t="s">
        <v>579</v>
      </c>
      <c r="E774" s="14" t="s">
        <v>303</v>
      </c>
      <c r="F774" s="21">
        <v>1146.2800000000002</v>
      </c>
      <c r="G774" s="21">
        <v>690.86</v>
      </c>
      <c r="H774" s="21">
        <v>643.57192857142854</v>
      </c>
      <c r="I774" s="21">
        <v>754.74178928571405</v>
      </c>
      <c r="J774" s="21">
        <v>1478.7467892857139</v>
      </c>
      <c r="K774" s="10"/>
    </row>
    <row r="775" spans="1:11" ht="25.5" x14ac:dyDescent="0.2">
      <c r="A775" s="220" t="s">
        <v>1632</v>
      </c>
      <c r="B775" s="224" t="s">
        <v>1998</v>
      </c>
      <c r="C775" s="20" t="s">
        <v>707</v>
      </c>
      <c r="D775" s="136" t="s">
        <v>577</v>
      </c>
      <c r="E775" s="12" t="s">
        <v>301</v>
      </c>
      <c r="F775" s="70">
        <v>6</v>
      </c>
      <c r="G775" s="70">
        <v>20</v>
      </c>
      <c r="H775" s="70">
        <v>20</v>
      </c>
      <c r="I775" s="70">
        <v>20</v>
      </c>
      <c r="J775" s="70">
        <v>20</v>
      </c>
      <c r="K775" s="10"/>
    </row>
    <row r="776" spans="1:11" ht="15.75" x14ac:dyDescent="0.2">
      <c r="A776" s="221"/>
      <c r="B776" s="225"/>
      <c r="C776" s="19" t="s">
        <v>698</v>
      </c>
      <c r="D776" s="136" t="s">
        <v>579</v>
      </c>
      <c r="E776" s="14" t="s">
        <v>303</v>
      </c>
      <c r="F776" s="21">
        <v>1640.58</v>
      </c>
      <c r="G776" s="21">
        <v>1493.8319999999999</v>
      </c>
      <c r="H776" s="21">
        <v>1446.5439285714285</v>
      </c>
      <c r="I776" s="21">
        <v>1557.713789285714</v>
      </c>
      <c r="J776" s="21">
        <v>2281.7187892857141</v>
      </c>
      <c r="K776" s="10"/>
    </row>
    <row r="777" spans="1:11" ht="25.5" x14ac:dyDescent="0.2">
      <c r="A777" s="220" t="s">
        <v>1633</v>
      </c>
      <c r="B777" s="224" t="s">
        <v>1977</v>
      </c>
      <c r="C777" s="20" t="s">
        <v>681</v>
      </c>
      <c r="D777" s="136" t="s">
        <v>577</v>
      </c>
      <c r="E777" s="12" t="s">
        <v>301</v>
      </c>
      <c r="F777" s="70">
        <v>77</v>
      </c>
      <c r="G777" s="70">
        <v>60</v>
      </c>
      <c r="H777" s="70">
        <v>60</v>
      </c>
      <c r="I777" s="70">
        <v>60</v>
      </c>
      <c r="J777" s="70">
        <v>60</v>
      </c>
      <c r="K777" s="10"/>
    </row>
    <row r="778" spans="1:11" ht="15.75" x14ac:dyDescent="0.2">
      <c r="A778" s="221"/>
      <c r="B778" s="225"/>
      <c r="C778" s="19" t="s">
        <v>698</v>
      </c>
      <c r="D778" s="136" t="s">
        <v>579</v>
      </c>
      <c r="E778" s="14" t="s">
        <v>303</v>
      </c>
      <c r="F778" s="21">
        <v>911.6342574257427</v>
      </c>
      <c r="G778" s="21">
        <v>3171.0239999999999</v>
      </c>
      <c r="H778" s="21">
        <v>3123.7359285714283</v>
      </c>
      <c r="I778" s="21">
        <v>3234.905789285714</v>
      </c>
      <c r="J778" s="21">
        <v>3958.9107892857141</v>
      </c>
      <c r="K778" s="10"/>
    </row>
    <row r="779" spans="1:11" ht="25.5" x14ac:dyDescent="0.2">
      <c r="A779" s="220" t="s">
        <v>1634</v>
      </c>
      <c r="B779" s="224" t="s">
        <v>1979</v>
      </c>
      <c r="C779" s="20" t="s">
        <v>683</v>
      </c>
      <c r="D779" s="136" t="s">
        <v>577</v>
      </c>
      <c r="E779" s="12" t="s">
        <v>301</v>
      </c>
      <c r="F779" s="70">
        <v>0</v>
      </c>
      <c r="G779" s="70" t="s">
        <v>780</v>
      </c>
      <c r="H779" s="70" t="s">
        <v>780</v>
      </c>
      <c r="I779" s="70" t="s">
        <v>780</v>
      </c>
      <c r="J779" s="70" t="s">
        <v>780</v>
      </c>
      <c r="K779" s="10"/>
    </row>
    <row r="780" spans="1:11" ht="15.75" x14ac:dyDescent="0.2">
      <c r="A780" s="221"/>
      <c r="B780" s="225"/>
      <c r="C780" s="19" t="s">
        <v>698</v>
      </c>
      <c r="D780" s="136" t="s">
        <v>579</v>
      </c>
      <c r="E780" s="14" t="s">
        <v>303</v>
      </c>
      <c r="F780" s="21">
        <v>0</v>
      </c>
      <c r="G780" s="21" t="s">
        <v>780</v>
      </c>
      <c r="H780" s="21" t="s">
        <v>780</v>
      </c>
      <c r="I780" s="21" t="s">
        <v>780</v>
      </c>
      <c r="J780" s="21" t="s">
        <v>780</v>
      </c>
      <c r="K780" s="10"/>
    </row>
    <row r="781" spans="1:11" ht="25.5" x14ac:dyDescent="0.2">
      <c r="A781" s="220" t="s">
        <v>1635</v>
      </c>
      <c r="B781" s="224" t="s">
        <v>1980</v>
      </c>
      <c r="C781" s="20" t="s">
        <v>684</v>
      </c>
      <c r="D781" s="136" t="s">
        <v>577</v>
      </c>
      <c r="E781" s="12" t="s">
        <v>301</v>
      </c>
      <c r="F781" s="70">
        <v>0</v>
      </c>
      <c r="G781" s="70" t="s">
        <v>780</v>
      </c>
      <c r="H781" s="70" t="s">
        <v>780</v>
      </c>
      <c r="I781" s="70" t="s">
        <v>780</v>
      </c>
      <c r="J781" s="70" t="s">
        <v>780</v>
      </c>
      <c r="K781" s="10"/>
    </row>
    <row r="782" spans="1:11" ht="15.75" x14ac:dyDescent="0.2">
      <c r="A782" s="221"/>
      <c r="B782" s="225"/>
      <c r="C782" s="19" t="s">
        <v>698</v>
      </c>
      <c r="D782" s="136" t="s">
        <v>579</v>
      </c>
      <c r="E782" s="14" t="s">
        <v>303</v>
      </c>
      <c r="F782" s="21">
        <v>0</v>
      </c>
      <c r="G782" s="21" t="s">
        <v>780</v>
      </c>
      <c r="H782" s="21" t="s">
        <v>780</v>
      </c>
      <c r="I782" s="21" t="s">
        <v>780</v>
      </c>
      <c r="J782" s="21" t="s">
        <v>780</v>
      </c>
      <c r="K782" s="10"/>
    </row>
    <row r="783" spans="1:11" ht="25.5" x14ac:dyDescent="0.2">
      <c r="A783" s="220" t="s">
        <v>1636</v>
      </c>
      <c r="B783" s="224" t="s">
        <v>708</v>
      </c>
      <c r="C783" s="20"/>
      <c r="D783" s="136" t="s">
        <v>577</v>
      </c>
      <c r="E783" s="12" t="s">
        <v>301</v>
      </c>
      <c r="F783" s="70">
        <v>230</v>
      </c>
      <c r="G783" s="70">
        <v>181</v>
      </c>
      <c r="H783" s="70">
        <v>181</v>
      </c>
      <c r="I783" s="70">
        <v>181</v>
      </c>
      <c r="J783" s="70">
        <v>181</v>
      </c>
      <c r="K783" s="10"/>
    </row>
    <row r="784" spans="1:11" ht="15.75" x14ac:dyDescent="0.2">
      <c r="A784" s="221"/>
      <c r="B784" s="225"/>
      <c r="C784" s="19" t="s">
        <v>698</v>
      </c>
      <c r="D784" s="136" t="s">
        <v>579</v>
      </c>
      <c r="E784" s="14" t="s">
        <v>303</v>
      </c>
      <c r="F784" s="21">
        <v>48220.8779820134</v>
      </c>
      <c r="G784" s="21">
        <v>61337.729999999996</v>
      </c>
      <c r="H784" s="21">
        <v>61290.441928571425</v>
      </c>
      <c r="I784" s="21">
        <v>61401.611789285707</v>
      </c>
      <c r="J784" s="21">
        <v>62125.616789285705</v>
      </c>
      <c r="K784" s="10"/>
    </row>
    <row r="785" spans="1:11" ht="25.5" x14ac:dyDescent="0.2">
      <c r="A785" s="220" t="s">
        <v>1637</v>
      </c>
      <c r="B785" s="224" t="s">
        <v>1999</v>
      </c>
      <c r="C785" s="20" t="s">
        <v>710</v>
      </c>
      <c r="D785" s="136" t="s">
        <v>577</v>
      </c>
      <c r="E785" s="12" t="s">
        <v>301</v>
      </c>
      <c r="F785" s="70">
        <v>6</v>
      </c>
      <c r="G785" s="70">
        <v>0</v>
      </c>
      <c r="H785" s="70">
        <v>0</v>
      </c>
      <c r="I785" s="70">
        <v>0</v>
      </c>
      <c r="J785" s="70">
        <v>0</v>
      </c>
      <c r="K785" s="10"/>
    </row>
    <row r="786" spans="1:11" ht="15.75" x14ac:dyDescent="0.2">
      <c r="A786" s="221"/>
      <c r="B786" s="225"/>
      <c r="C786" s="13" t="s">
        <v>711</v>
      </c>
      <c r="D786" s="136" t="s">
        <v>579</v>
      </c>
      <c r="E786" s="14" t="s">
        <v>303</v>
      </c>
      <c r="F786" s="21">
        <v>609.5328571428571</v>
      </c>
      <c r="G786" s="21">
        <v>0</v>
      </c>
      <c r="H786" s="21">
        <v>0</v>
      </c>
      <c r="I786" s="21">
        <v>0</v>
      </c>
      <c r="J786" s="21">
        <v>0</v>
      </c>
      <c r="K786" s="10"/>
    </row>
    <row r="787" spans="1:11" ht="25.5" x14ac:dyDescent="0.2">
      <c r="A787" s="220" t="s">
        <v>1638</v>
      </c>
      <c r="B787" s="224" t="s">
        <v>2000</v>
      </c>
      <c r="C787" s="20" t="s">
        <v>713</v>
      </c>
      <c r="D787" s="136" t="s">
        <v>577</v>
      </c>
      <c r="E787" s="12" t="s">
        <v>301</v>
      </c>
      <c r="F787" s="70">
        <v>17</v>
      </c>
      <c r="G787" s="70">
        <v>24</v>
      </c>
      <c r="H787" s="70">
        <v>24</v>
      </c>
      <c r="I787" s="70">
        <v>24</v>
      </c>
      <c r="J787" s="70">
        <v>24</v>
      </c>
      <c r="K787" s="10"/>
    </row>
    <row r="788" spans="1:11" ht="15.75" x14ac:dyDescent="0.2">
      <c r="A788" s="221"/>
      <c r="B788" s="225"/>
      <c r="C788" s="13" t="s">
        <v>711</v>
      </c>
      <c r="D788" s="136" t="s">
        <v>579</v>
      </c>
      <c r="E788" s="14" t="s">
        <v>303</v>
      </c>
      <c r="F788" s="21">
        <v>739.35007936507941</v>
      </c>
      <c r="G788" s="21">
        <v>1287.74</v>
      </c>
      <c r="H788" s="21">
        <v>1293.224002631579</v>
      </c>
      <c r="I788" s="21">
        <v>1312.6235526315791</v>
      </c>
      <c r="J788" s="21">
        <v>1394.6325000000002</v>
      </c>
      <c r="K788" s="10"/>
    </row>
    <row r="789" spans="1:11" ht="25.5" x14ac:dyDescent="0.2">
      <c r="A789" s="220" t="s">
        <v>1639</v>
      </c>
      <c r="B789" s="224" t="s">
        <v>2001</v>
      </c>
      <c r="C789" s="20" t="s">
        <v>715</v>
      </c>
      <c r="D789" s="136" t="s">
        <v>577</v>
      </c>
      <c r="E789" s="12" t="s">
        <v>301</v>
      </c>
      <c r="F789" s="70">
        <v>6</v>
      </c>
      <c r="G789" s="70" t="s">
        <v>780</v>
      </c>
      <c r="H789" s="70" t="s">
        <v>780</v>
      </c>
      <c r="I789" s="70" t="s">
        <v>780</v>
      </c>
      <c r="J789" s="70" t="s">
        <v>780</v>
      </c>
      <c r="K789" s="10"/>
    </row>
    <row r="790" spans="1:11" ht="15.75" x14ac:dyDescent="0.2">
      <c r="A790" s="221"/>
      <c r="B790" s="225"/>
      <c r="C790" s="13" t="s">
        <v>711</v>
      </c>
      <c r="D790" s="136" t="s">
        <v>579</v>
      </c>
      <c r="E790" s="14" t="s">
        <v>303</v>
      </c>
      <c r="F790" s="21">
        <v>485.47285714285715</v>
      </c>
      <c r="G790" s="21" t="s">
        <v>780</v>
      </c>
      <c r="H790" s="21" t="s">
        <v>780</v>
      </c>
      <c r="I790" s="21" t="s">
        <v>780</v>
      </c>
      <c r="J790" s="21" t="s">
        <v>780</v>
      </c>
      <c r="K790" s="10"/>
    </row>
    <row r="791" spans="1:11" ht="25.5" x14ac:dyDescent="0.2">
      <c r="A791" s="220" t="s">
        <v>1640</v>
      </c>
      <c r="B791" s="224" t="s">
        <v>2002</v>
      </c>
      <c r="C791" s="20" t="s">
        <v>717</v>
      </c>
      <c r="D791" s="136" t="s">
        <v>577</v>
      </c>
      <c r="E791" s="12" t="s">
        <v>301</v>
      </c>
      <c r="F791" s="70">
        <v>1</v>
      </c>
      <c r="G791" s="70">
        <v>1</v>
      </c>
      <c r="H791" s="70">
        <v>1</v>
      </c>
      <c r="I791" s="70">
        <v>1</v>
      </c>
      <c r="J791" s="70">
        <v>1</v>
      </c>
      <c r="K791" s="10"/>
    </row>
    <row r="792" spans="1:11" ht="15.75" x14ac:dyDescent="0.2">
      <c r="A792" s="221"/>
      <c r="B792" s="225"/>
      <c r="C792" s="13" t="s">
        <v>711</v>
      </c>
      <c r="D792" s="136" t="s">
        <v>579</v>
      </c>
      <c r="E792" s="14" t="s">
        <v>303</v>
      </c>
      <c r="F792" s="21">
        <v>3876.732857142857</v>
      </c>
      <c r="G792" s="21">
        <v>1152.75</v>
      </c>
      <c r="H792" s="21">
        <v>1158.234002631579</v>
      </c>
      <c r="I792" s="21">
        <v>1177.6335526315791</v>
      </c>
      <c r="J792" s="21">
        <v>1259.6425000000002</v>
      </c>
      <c r="K792" s="10"/>
    </row>
    <row r="793" spans="1:11" ht="25.5" x14ac:dyDescent="0.2">
      <c r="A793" s="220" t="s">
        <v>1641</v>
      </c>
      <c r="B793" s="224" t="s">
        <v>2003</v>
      </c>
      <c r="C793" s="20" t="s">
        <v>718</v>
      </c>
      <c r="D793" s="136" t="s">
        <v>577</v>
      </c>
      <c r="E793" s="12" t="s">
        <v>301</v>
      </c>
      <c r="F793" s="70">
        <v>5</v>
      </c>
      <c r="G793" s="70">
        <v>4</v>
      </c>
      <c r="H793" s="70">
        <v>4</v>
      </c>
      <c r="I793" s="70">
        <v>4</v>
      </c>
      <c r="J793" s="70">
        <v>4</v>
      </c>
      <c r="K793" s="10"/>
    </row>
    <row r="794" spans="1:11" ht="15.75" x14ac:dyDescent="0.2">
      <c r="A794" s="221"/>
      <c r="B794" s="225"/>
      <c r="C794" s="13" t="s">
        <v>711</v>
      </c>
      <c r="D794" s="136" t="s">
        <v>579</v>
      </c>
      <c r="E794" s="14" t="s">
        <v>303</v>
      </c>
      <c r="F794" s="21">
        <v>1089.1328571428569</v>
      </c>
      <c r="G794" s="21">
        <v>1865.3</v>
      </c>
      <c r="H794" s="21">
        <v>1870.7840026315789</v>
      </c>
      <c r="I794" s="21">
        <v>1890.183552631579</v>
      </c>
      <c r="J794" s="21">
        <v>1972.1925000000001</v>
      </c>
      <c r="K794" s="10"/>
    </row>
    <row r="795" spans="1:11" ht="25.5" x14ac:dyDescent="0.2">
      <c r="A795" s="220" t="s">
        <v>1642</v>
      </c>
      <c r="B795" s="224" t="s">
        <v>2004</v>
      </c>
      <c r="C795" s="20" t="s">
        <v>719</v>
      </c>
      <c r="D795" s="136" t="s">
        <v>577</v>
      </c>
      <c r="E795" s="12" t="s">
        <v>301</v>
      </c>
      <c r="F795" s="70">
        <v>6</v>
      </c>
      <c r="G795" s="70">
        <v>5</v>
      </c>
      <c r="H795" s="70">
        <v>5</v>
      </c>
      <c r="I795" s="70">
        <v>5</v>
      </c>
      <c r="J795" s="70">
        <v>5</v>
      </c>
      <c r="K795" s="10"/>
    </row>
    <row r="796" spans="1:11" ht="15.75" x14ac:dyDescent="0.2">
      <c r="A796" s="221"/>
      <c r="B796" s="225"/>
      <c r="C796" s="13" t="s">
        <v>711</v>
      </c>
      <c r="D796" s="136" t="s">
        <v>579</v>
      </c>
      <c r="E796" s="14" t="s">
        <v>303</v>
      </c>
      <c r="F796" s="21">
        <v>1064.032857142857</v>
      </c>
      <c r="G796" s="21">
        <v>3015.22</v>
      </c>
      <c r="H796" s="21">
        <v>3020.704002631579</v>
      </c>
      <c r="I796" s="21">
        <v>3040.1035526315786</v>
      </c>
      <c r="J796" s="21">
        <v>3122.1124999999997</v>
      </c>
      <c r="K796" s="10"/>
    </row>
    <row r="797" spans="1:11" ht="25.5" x14ac:dyDescent="0.2">
      <c r="A797" s="220" t="s">
        <v>1643</v>
      </c>
      <c r="B797" s="224" t="s">
        <v>2005</v>
      </c>
      <c r="C797" s="20" t="s">
        <v>720</v>
      </c>
      <c r="D797" s="136" t="s">
        <v>577</v>
      </c>
      <c r="E797" s="12" t="s">
        <v>301</v>
      </c>
      <c r="F797" s="70">
        <v>8</v>
      </c>
      <c r="G797" s="70">
        <v>8</v>
      </c>
      <c r="H797" s="70">
        <v>8</v>
      </c>
      <c r="I797" s="70">
        <v>8</v>
      </c>
      <c r="J797" s="70">
        <v>8</v>
      </c>
      <c r="K797" s="10"/>
    </row>
    <row r="798" spans="1:11" ht="15.75" x14ac:dyDescent="0.2">
      <c r="A798" s="221"/>
      <c r="B798" s="225"/>
      <c r="C798" s="13" t="s">
        <v>711</v>
      </c>
      <c r="D798" s="136" t="s">
        <v>579</v>
      </c>
      <c r="E798" s="14" t="s">
        <v>303</v>
      </c>
      <c r="F798" s="21">
        <v>1064.1328571428569</v>
      </c>
      <c r="G798" s="21">
        <v>3439.97</v>
      </c>
      <c r="H798" s="21">
        <v>3445.454002631579</v>
      </c>
      <c r="I798" s="21">
        <v>3464.8535526315786</v>
      </c>
      <c r="J798" s="21">
        <v>3546.8624999999997</v>
      </c>
      <c r="K798" s="10"/>
    </row>
    <row r="799" spans="1:11" ht="25.5" x14ac:dyDescent="0.2">
      <c r="A799" s="220" t="s">
        <v>1644</v>
      </c>
      <c r="B799" s="224" t="s">
        <v>2006</v>
      </c>
      <c r="C799" s="20" t="s">
        <v>721</v>
      </c>
      <c r="D799" s="136" t="s">
        <v>577</v>
      </c>
      <c r="E799" s="12" t="s">
        <v>301</v>
      </c>
      <c r="F799" s="70">
        <v>1</v>
      </c>
      <c r="G799" s="70" t="s">
        <v>780</v>
      </c>
      <c r="H799" s="70"/>
      <c r="I799" s="70"/>
      <c r="J799" s="70"/>
      <c r="K799" s="10"/>
    </row>
    <row r="800" spans="1:11" ht="15.75" x14ac:dyDescent="0.2">
      <c r="A800" s="221"/>
      <c r="B800" s="225"/>
      <c r="C800" s="13" t="s">
        <v>711</v>
      </c>
      <c r="D800" s="136" t="s">
        <v>579</v>
      </c>
      <c r="E800" s="14" t="s">
        <v>303</v>
      </c>
      <c r="F800" s="21">
        <v>712.5328571428571</v>
      </c>
      <c r="G800" s="21" t="s">
        <v>780</v>
      </c>
      <c r="H800" s="21" t="s">
        <v>780</v>
      </c>
      <c r="I800" s="21" t="s">
        <v>780</v>
      </c>
      <c r="J800" s="21" t="s">
        <v>780</v>
      </c>
      <c r="K800" s="10"/>
    </row>
    <row r="801" spans="1:11" ht="25.5" x14ac:dyDescent="0.2">
      <c r="A801" s="220" t="s">
        <v>1645</v>
      </c>
      <c r="B801" s="224" t="s">
        <v>2007</v>
      </c>
      <c r="C801" s="20" t="s">
        <v>722</v>
      </c>
      <c r="D801" s="136" t="s">
        <v>577</v>
      </c>
      <c r="E801" s="12" t="s">
        <v>301</v>
      </c>
      <c r="F801" s="70">
        <v>23</v>
      </c>
      <c r="G801" s="70">
        <v>21</v>
      </c>
      <c r="H801" s="70">
        <v>21</v>
      </c>
      <c r="I801" s="70">
        <v>21</v>
      </c>
      <c r="J801" s="70">
        <v>21</v>
      </c>
      <c r="K801" s="10"/>
    </row>
    <row r="802" spans="1:11" ht="15.75" x14ac:dyDescent="0.2">
      <c r="A802" s="221"/>
      <c r="B802" s="225"/>
      <c r="C802" s="13" t="s">
        <v>711</v>
      </c>
      <c r="D802" s="136" t="s">
        <v>579</v>
      </c>
      <c r="E802" s="14" t="s">
        <v>303</v>
      </c>
      <c r="F802" s="21">
        <v>626.73285714285714</v>
      </c>
      <c r="G802" s="21">
        <v>1836.69</v>
      </c>
      <c r="H802" s="21">
        <v>1842.174002631579</v>
      </c>
      <c r="I802" s="21">
        <v>1861.5735526315791</v>
      </c>
      <c r="J802" s="21">
        <v>1943.5825000000002</v>
      </c>
      <c r="K802" s="10"/>
    </row>
    <row r="803" spans="1:11" ht="25.5" x14ac:dyDescent="0.2">
      <c r="A803" s="220" t="s">
        <v>1646</v>
      </c>
      <c r="B803" s="224" t="s">
        <v>2008</v>
      </c>
      <c r="C803" s="20" t="s">
        <v>723</v>
      </c>
      <c r="D803" s="136" t="s">
        <v>577</v>
      </c>
      <c r="E803" s="12" t="s">
        <v>301</v>
      </c>
      <c r="F803" s="70">
        <v>0</v>
      </c>
      <c r="G803" s="70">
        <v>6</v>
      </c>
      <c r="H803" s="70">
        <v>6</v>
      </c>
      <c r="I803" s="70">
        <v>6</v>
      </c>
      <c r="J803" s="70">
        <v>6</v>
      </c>
      <c r="K803" s="10"/>
    </row>
    <row r="804" spans="1:11" ht="15.75" x14ac:dyDescent="0.2">
      <c r="A804" s="221"/>
      <c r="B804" s="225"/>
      <c r="C804" s="13" t="s">
        <v>711</v>
      </c>
      <c r="D804" s="136" t="s">
        <v>579</v>
      </c>
      <c r="E804" s="14" t="s">
        <v>303</v>
      </c>
      <c r="F804" s="21">
        <v>0</v>
      </c>
      <c r="G804" s="21">
        <v>135.80000000000001</v>
      </c>
      <c r="H804" s="21">
        <v>141.284002631579</v>
      </c>
      <c r="I804" s="21">
        <v>160.68355263157895</v>
      </c>
      <c r="J804" s="21">
        <v>242.6925</v>
      </c>
      <c r="K804" s="10"/>
    </row>
    <row r="805" spans="1:11" ht="25.5" x14ac:dyDescent="0.2">
      <c r="A805" s="220" t="s">
        <v>1647</v>
      </c>
      <c r="B805" s="224" t="s">
        <v>2009</v>
      </c>
      <c r="C805" s="20" t="s">
        <v>724</v>
      </c>
      <c r="D805" s="136" t="s">
        <v>577</v>
      </c>
      <c r="E805" s="12" t="s">
        <v>301</v>
      </c>
      <c r="F805" s="70">
        <v>15</v>
      </c>
      <c r="G805" s="70">
        <v>18</v>
      </c>
      <c r="H805" s="70">
        <v>18</v>
      </c>
      <c r="I805" s="70">
        <v>18</v>
      </c>
      <c r="J805" s="70">
        <v>18</v>
      </c>
      <c r="K805" s="10"/>
    </row>
    <row r="806" spans="1:11" ht="15.75" x14ac:dyDescent="0.2">
      <c r="A806" s="221"/>
      <c r="B806" s="225"/>
      <c r="C806" s="13" t="s">
        <v>711</v>
      </c>
      <c r="D806" s="136" t="s">
        <v>579</v>
      </c>
      <c r="E806" s="14" t="s">
        <v>303</v>
      </c>
      <c r="F806" s="21">
        <v>1032.4328571428571</v>
      </c>
      <c r="G806" s="21">
        <v>1883.65</v>
      </c>
      <c r="H806" s="21">
        <v>1889.1340026315791</v>
      </c>
      <c r="I806" s="21">
        <v>1908.5335526315791</v>
      </c>
      <c r="J806" s="21">
        <v>1990.5425000000002</v>
      </c>
      <c r="K806" s="10"/>
    </row>
    <row r="807" spans="1:11" ht="25.5" x14ac:dyDescent="0.2">
      <c r="A807" s="220" t="s">
        <v>1648</v>
      </c>
      <c r="B807" s="224" t="s">
        <v>2010</v>
      </c>
      <c r="C807" s="20" t="s">
        <v>725</v>
      </c>
      <c r="D807" s="136" t="s">
        <v>577</v>
      </c>
      <c r="E807" s="12" t="s">
        <v>301</v>
      </c>
      <c r="F807" s="70">
        <v>12</v>
      </c>
      <c r="G807" s="70" t="s">
        <v>780</v>
      </c>
      <c r="H807" s="70" t="s">
        <v>780</v>
      </c>
      <c r="I807" s="70" t="s">
        <v>780</v>
      </c>
      <c r="J807" s="70" t="s">
        <v>780</v>
      </c>
      <c r="K807" s="10"/>
    </row>
    <row r="808" spans="1:11" ht="15.75" x14ac:dyDescent="0.2">
      <c r="A808" s="221"/>
      <c r="B808" s="225"/>
      <c r="C808" s="13" t="s">
        <v>711</v>
      </c>
      <c r="D808" s="136" t="s">
        <v>579</v>
      </c>
      <c r="E808" s="14" t="s">
        <v>303</v>
      </c>
      <c r="F808" s="21">
        <v>1316.6328571428571</v>
      </c>
      <c r="G808" s="21" t="s">
        <v>780</v>
      </c>
      <c r="H808" s="21" t="s">
        <v>780</v>
      </c>
      <c r="I808" s="21" t="s">
        <v>780</v>
      </c>
      <c r="J808" s="21" t="s">
        <v>780</v>
      </c>
      <c r="K808" s="10"/>
    </row>
    <row r="809" spans="1:11" ht="25.5" x14ac:dyDescent="0.2">
      <c r="A809" s="220" t="s">
        <v>1649</v>
      </c>
      <c r="B809" s="224" t="s">
        <v>2011</v>
      </c>
      <c r="C809" s="20" t="s">
        <v>726</v>
      </c>
      <c r="D809" s="136" t="s">
        <v>577</v>
      </c>
      <c r="E809" s="12" t="s">
        <v>301</v>
      </c>
      <c r="F809" s="70">
        <v>2</v>
      </c>
      <c r="G809" s="70">
        <v>2</v>
      </c>
      <c r="H809" s="70">
        <v>2</v>
      </c>
      <c r="I809" s="70">
        <v>2</v>
      </c>
      <c r="J809" s="70">
        <v>2</v>
      </c>
      <c r="K809" s="10"/>
    </row>
    <row r="810" spans="1:11" ht="15.75" x14ac:dyDescent="0.2">
      <c r="A810" s="221"/>
      <c r="B810" s="225"/>
      <c r="C810" s="13" t="s">
        <v>711</v>
      </c>
      <c r="D810" s="136" t="s">
        <v>579</v>
      </c>
      <c r="E810" s="14" t="s">
        <v>303</v>
      </c>
      <c r="F810" s="21">
        <v>1168.232857142857</v>
      </c>
      <c r="G810" s="21">
        <v>912.5</v>
      </c>
      <c r="H810" s="21">
        <v>917.98400263157896</v>
      </c>
      <c r="I810" s="21">
        <v>937.38355263157894</v>
      </c>
      <c r="J810" s="21">
        <v>1019.3925</v>
      </c>
      <c r="K810" s="10"/>
    </row>
    <row r="811" spans="1:11" ht="25.5" x14ac:dyDescent="0.2">
      <c r="A811" s="220" t="s">
        <v>1650</v>
      </c>
      <c r="B811" s="224" t="s">
        <v>2012</v>
      </c>
      <c r="C811" s="20" t="s">
        <v>727</v>
      </c>
      <c r="D811" s="136" t="s">
        <v>577</v>
      </c>
      <c r="E811" s="12" t="s">
        <v>301</v>
      </c>
      <c r="F811" s="70">
        <v>11</v>
      </c>
      <c r="G811" s="70">
        <v>11</v>
      </c>
      <c r="H811" s="70">
        <v>11</v>
      </c>
      <c r="I811" s="70">
        <v>11</v>
      </c>
      <c r="J811" s="70">
        <v>11</v>
      </c>
      <c r="K811" s="10"/>
    </row>
    <row r="812" spans="1:11" ht="15.75" x14ac:dyDescent="0.2">
      <c r="A812" s="221"/>
      <c r="B812" s="225"/>
      <c r="C812" s="13" t="s">
        <v>711</v>
      </c>
      <c r="D812" s="136" t="s">
        <v>579</v>
      </c>
      <c r="E812" s="14" t="s">
        <v>303</v>
      </c>
      <c r="F812" s="21">
        <v>227.33285714285714</v>
      </c>
      <c r="G812" s="21">
        <v>755.78</v>
      </c>
      <c r="H812" s="21">
        <v>761.26400263157893</v>
      </c>
      <c r="I812" s="21">
        <v>780.66355263157891</v>
      </c>
      <c r="J812" s="21">
        <v>862.67250000000001</v>
      </c>
      <c r="K812" s="10"/>
    </row>
    <row r="813" spans="1:11" ht="25.5" x14ac:dyDescent="0.2">
      <c r="A813" s="220" t="s">
        <v>1651</v>
      </c>
      <c r="B813" s="224" t="s">
        <v>2013</v>
      </c>
      <c r="C813" s="20" t="s">
        <v>728</v>
      </c>
      <c r="D813" s="136" t="s">
        <v>577</v>
      </c>
      <c r="E813" s="12" t="s">
        <v>301</v>
      </c>
      <c r="F813" s="70">
        <v>5</v>
      </c>
      <c r="G813" s="70" t="s">
        <v>780</v>
      </c>
      <c r="H813" s="70" t="s">
        <v>780</v>
      </c>
      <c r="I813" s="70" t="s">
        <v>780</v>
      </c>
      <c r="J813" s="70" t="s">
        <v>780</v>
      </c>
      <c r="K813" s="10"/>
    </row>
    <row r="814" spans="1:11" ht="15.75" x14ac:dyDescent="0.2">
      <c r="A814" s="221"/>
      <c r="B814" s="225"/>
      <c r="C814" s="13" t="s">
        <v>711</v>
      </c>
      <c r="D814" s="136" t="s">
        <v>579</v>
      </c>
      <c r="E814" s="14" t="s">
        <v>303</v>
      </c>
      <c r="F814" s="21">
        <v>2377.6328571428571</v>
      </c>
      <c r="G814" s="21" t="s">
        <v>780</v>
      </c>
      <c r="H814" s="21" t="s">
        <v>780</v>
      </c>
      <c r="I814" s="21" t="s">
        <v>780</v>
      </c>
      <c r="J814" s="21" t="s">
        <v>780</v>
      </c>
      <c r="K814" s="10"/>
    </row>
    <row r="815" spans="1:11" ht="25.5" x14ac:dyDescent="0.2">
      <c r="A815" s="220" t="s">
        <v>1652</v>
      </c>
      <c r="B815" s="224" t="s">
        <v>2014</v>
      </c>
      <c r="C815" s="20" t="s">
        <v>729</v>
      </c>
      <c r="D815" s="136" t="s">
        <v>577</v>
      </c>
      <c r="E815" s="12" t="s">
        <v>301</v>
      </c>
      <c r="F815" s="70">
        <v>3</v>
      </c>
      <c r="G815" s="70">
        <v>3</v>
      </c>
      <c r="H815" s="70">
        <v>3</v>
      </c>
      <c r="I815" s="70">
        <v>3</v>
      </c>
      <c r="J815" s="70">
        <v>3</v>
      </c>
      <c r="K815" s="10"/>
    </row>
    <row r="816" spans="1:11" ht="15.75" x14ac:dyDescent="0.2">
      <c r="A816" s="221"/>
      <c r="B816" s="225"/>
      <c r="C816" s="13" t="s">
        <v>711</v>
      </c>
      <c r="D816" s="136" t="s">
        <v>579</v>
      </c>
      <c r="E816" s="14" t="s">
        <v>303</v>
      </c>
      <c r="F816" s="21">
        <v>690.53285714285721</v>
      </c>
      <c r="G816" s="21">
        <v>1017.72</v>
      </c>
      <c r="H816" s="21">
        <v>1023.2040026315791</v>
      </c>
      <c r="I816" s="21">
        <v>1042.6035526315791</v>
      </c>
      <c r="J816" s="21">
        <v>1124.6125000000002</v>
      </c>
      <c r="K816" s="10"/>
    </row>
    <row r="817" spans="1:11" ht="25.5" x14ac:dyDescent="0.2">
      <c r="A817" s="220" t="s">
        <v>1653</v>
      </c>
      <c r="B817" s="224" t="s">
        <v>2015</v>
      </c>
      <c r="C817" s="20" t="s">
        <v>730</v>
      </c>
      <c r="D817" s="136" t="s">
        <v>577</v>
      </c>
      <c r="E817" s="12" t="s">
        <v>301</v>
      </c>
      <c r="F817" s="70">
        <v>6</v>
      </c>
      <c r="G817" s="70">
        <v>6</v>
      </c>
      <c r="H817" s="70">
        <v>6</v>
      </c>
      <c r="I817" s="70">
        <v>6</v>
      </c>
      <c r="J817" s="70">
        <v>6</v>
      </c>
      <c r="K817" s="10"/>
    </row>
    <row r="818" spans="1:11" ht="15.75" x14ac:dyDescent="0.2">
      <c r="A818" s="221"/>
      <c r="B818" s="225"/>
      <c r="C818" s="13" t="s">
        <v>711</v>
      </c>
      <c r="D818" s="136" t="s">
        <v>579</v>
      </c>
      <c r="E818" s="14" t="s">
        <v>303</v>
      </c>
      <c r="F818" s="21">
        <v>740.03285714285721</v>
      </c>
      <c r="G818" s="21">
        <v>780.89</v>
      </c>
      <c r="H818" s="21">
        <v>786.37400263157895</v>
      </c>
      <c r="I818" s="21">
        <v>805.77355263157892</v>
      </c>
      <c r="J818" s="21">
        <v>887.78250000000003</v>
      </c>
      <c r="K818" s="10"/>
    </row>
    <row r="819" spans="1:11" ht="25.5" x14ac:dyDescent="0.2">
      <c r="A819" s="220" t="s">
        <v>1654</v>
      </c>
      <c r="B819" s="224" t="s">
        <v>2016</v>
      </c>
      <c r="C819" s="20" t="s">
        <v>731</v>
      </c>
      <c r="D819" s="136" t="s">
        <v>577</v>
      </c>
      <c r="E819" s="12" t="s">
        <v>301</v>
      </c>
      <c r="F819" s="70">
        <v>10</v>
      </c>
      <c r="G819" s="70">
        <v>10</v>
      </c>
      <c r="H819" s="70">
        <v>10</v>
      </c>
      <c r="I819" s="70">
        <v>10</v>
      </c>
      <c r="J819" s="70">
        <v>10</v>
      </c>
      <c r="K819" s="10"/>
    </row>
    <row r="820" spans="1:11" ht="15.75" x14ac:dyDescent="0.2">
      <c r="A820" s="221"/>
      <c r="B820" s="225"/>
      <c r="C820" s="13" t="s">
        <v>711</v>
      </c>
      <c r="D820" s="136" t="s">
        <v>579</v>
      </c>
      <c r="E820" s="14" t="s">
        <v>303</v>
      </c>
      <c r="F820" s="21">
        <v>353.86285714285714</v>
      </c>
      <c r="G820" s="21">
        <v>264.74</v>
      </c>
      <c r="H820" s="21">
        <v>270.22400263157903</v>
      </c>
      <c r="I820" s="21">
        <v>289.62355263157895</v>
      </c>
      <c r="J820" s="21">
        <v>371.63249999999999</v>
      </c>
      <c r="K820" s="10"/>
    </row>
    <row r="821" spans="1:11" ht="25.5" x14ac:dyDescent="0.2">
      <c r="A821" s="220" t="s">
        <v>1655</v>
      </c>
      <c r="B821" s="224" t="s">
        <v>2017</v>
      </c>
      <c r="C821" s="20" t="s">
        <v>732</v>
      </c>
      <c r="D821" s="136" t="s">
        <v>577</v>
      </c>
      <c r="E821" s="12" t="s">
        <v>301</v>
      </c>
      <c r="F821" s="70">
        <v>25</v>
      </c>
      <c r="G821" s="70">
        <v>42</v>
      </c>
      <c r="H821" s="70">
        <v>42</v>
      </c>
      <c r="I821" s="70">
        <v>42</v>
      </c>
      <c r="J821" s="70">
        <v>42</v>
      </c>
      <c r="K821" s="10"/>
    </row>
    <row r="822" spans="1:11" ht="15.75" x14ac:dyDescent="0.2">
      <c r="A822" s="221"/>
      <c r="B822" s="225"/>
      <c r="C822" s="13" t="s">
        <v>711</v>
      </c>
      <c r="D822" s="136" t="s">
        <v>579</v>
      </c>
      <c r="E822" s="14" t="s">
        <v>303</v>
      </c>
      <c r="F822" s="21">
        <v>332.88392857142856</v>
      </c>
      <c r="G822" s="21">
        <v>2261.77</v>
      </c>
      <c r="H822" s="21">
        <v>2267.2540026315792</v>
      </c>
      <c r="I822" s="21">
        <v>2286.6535526315788</v>
      </c>
      <c r="J822" s="21">
        <v>2368.6624999999999</v>
      </c>
      <c r="K822" s="10"/>
    </row>
    <row r="823" spans="1:11" ht="25.5" x14ac:dyDescent="0.2">
      <c r="A823" s="220" t="s">
        <v>1656</v>
      </c>
      <c r="B823" s="224" t="s">
        <v>2018</v>
      </c>
      <c r="C823" s="20" t="s">
        <v>733</v>
      </c>
      <c r="D823" s="136" t="s">
        <v>577</v>
      </c>
      <c r="E823" s="12" t="s">
        <v>301</v>
      </c>
      <c r="F823" s="70">
        <v>12</v>
      </c>
      <c r="G823" s="70">
        <v>12</v>
      </c>
      <c r="H823" s="70">
        <v>12</v>
      </c>
      <c r="I823" s="70">
        <v>12</v>
      </c>
      <c r="J823" s="70">
        <v>12</v>
      </c>
      <c r="K823" s="10"/>
    </row>
    <row r="824" spans="1:11" ht="15.75" x14ac:dyDescent="0.2">
      <c r="A824" s="221"/>
      <c r="B824" s="225"/>
      <c r="C824" s="13" t="s">
        <v>711</v>
      </c>
      <c r="D824" s="136" t="s">
        <v>579</v>
      </c>
      <c r="E824" s="14" t="s">
        <v>303</v>
      </c>
      <c r="F824" s="21">
        <v>465.5328571428571</v>
      </c>
      <c r="G824" s="21">
        <v>176.89</v>
      </c>
      <c r="H824" s="21">
        <v>182.37400263157897</v>
      </c>
      <c r="I824" s="21">
        <v>201.77355263157892</v>
      </c>
      <c r="J824" s="21">
        <v>283.78249999999997</v>
      </c>
      <c r="K824" s="10"/>
    </row>
    <row r="825" spans="1:11" ht="25.5" x14ac:dyDescent="0.2">
      <c r="A825" s="220" t="s">
        <v>1657</v>
      </c>
      <c r="B825" s="224" t="s">
        <v>2019</v>
      </c>
      <c r="C825" s="20" t="s">
        <v>734</v>
      </c>
      <c r="D825" s="136" t="s">
        <v>577</v>
      </c>
      <c r="E825" s="12" t="s">
        <v>301</v>
      </c>
      <c r="F825" s="70">
        <v>5</v>
      </c>
      <c r="G825" s="70">
        <v>5</v>
      </c>
      <c r="H825" s="70">
        <v>5</v>
      </c>
      <c r="I825" s="70">
        <v>5</v>
      </c>
      <c r="J825" s="70">
        <v>5</v>
      </c>
      <c r="K825" s="10"/>
    </row>
    <row r="826" spans="1:11" ht="15.75" x14ac:dyDescent="0.2">
      <c r="A826" s="221"/>
      <c r="B826" s="225"/>
      <c r="C826" s="13" t="s">
        <v>711</v>
      </c>
      <c r="D826" s="136" t="s">
        <v>579</v>
      </c>
      <c r="E826" s="14" t="s">
        <v>303</v>
      </c>
      <c r="F826" s="21">
        <v>970.73285714285703</v>
      </c>
      <c r="G826" s="21">
        <v>339.38</v>
      </c>
      <c r="H826" s="21">
        <v>344.86400263157901</v>
      </c>
      <c r="I826" s="21">
        <v>364.26355263157893</v>
      </c>
      <c r="J826" s="21">
        <v>446.27249999999998</v>
      </c>
      <c r="K826" s="10"/>
    </row>
    <row r="827" spans="1:11" ht="25.5" x14ac:dyDescent="0.2">
      <c r="A827" s="220" t="s">
        <v>1658</v>
      </c>
      <c r="B827" s="224" t="s">
        <v>2020</v>
      </c>
      <c r="C827" s="20" t="s">
        <v>735</v>
      </c>
      <c r="D827" s="136" t="s">
        <v>577</v>
      </c>
      <c r="E827" s="12" t="s">
        <v>301</v>
      </c>
      <c r="F827" s="70">
        <v>6</v>
      </c>
      <c r="G827" s="70">
        <v>6</v>
      </c>
      <c r="H827" s="70">
        <v>6</v>
      </c>
      <c r="I827" s="70">
        <v>6</v>
      </c>
      <c r="J827" s="70">
        <v>6</v>
      </c>
      <c r="K827" s="10"/>
    </row>
    <row r="828" spans="1:11" ht="15.75" x14ac:dyDescent="0.2">
      <c r="A828" s="221"/>
      <c r="B828" s="225"/>
      <c r="C828" s="13" t="s">
        <v>711</v>
      </c>
      <c r="D828" s="136" t="s">
        <v>579</v>
      </c>
      <c r="E828" s="14" t="s">
        <v>303</v>
      </c>
      <c r="F828" s="21">
        <v>970.73285714285703</v>
      </c>
      <c r="G828" s="21">
        <v>392.89</v>
      </c>
      <c r="H828" s="21">
        <v>398.374002631579</v>
      </c>
      <c r="I828" s="21">
        <v>417.77355263157892</v>
      </c>
      <c r="J828" s="21">
        <v>499.78249999999997</v>
      </c>
      <c r="K828" s="10"/>
    </row>
    <row r="829" spans="1:11" ht="25.5" x14ac:dyDescent="0.2">
      <c r="A829" s="220" t="s">
        <v>1659</v>
      </c>
      <c r="B829" s="224" t="s">
        <v>736</v>
      </c>
      <c r="C829" s="20" t="s">
        <v>737</v>
      </c>
      <c r="D829" s="136" t="s">
        <v>738</v>
      </c>
      <c r="E829" s="12" t="s">
        <v>301</v>
      </c>
      <c r="F829" s="70">
        <v>56</v>
      </c>
      <c r="G829" s="70">
        <v>56</v>
      </c>
      <c r="H829" s="70">
        <v>56</v>
      </c>
      <c r="I829" s="70">
        <v>56</v>
      </c>
      <c r="J829" s="70">
        <v>56</v>
      </c>
      <c r="K829" s="10"/>
    </row>
    <row r="830" spans="1:11" ht="15.75" x14ac:dyDescent="0.2">
      <c r="A830" s="221"/>
      <c r="B830" s="225"/>
      <c r="C830" s="13">
        <v>8.0411011710421598E+19</v>
      </c>
      <c r="D830" s="136" t="s">
        <v>579</v>
      </c>
      <c r="E830" s="14" t="s">
        <v>303</v>
      </c>
      <c r="F830" s="21">
        <v>1640</v>
      </c>
      <c r="G830" s="21">
        <v>1640</v>
      </c>
      <c r="H830" s="21">
        <v>1645.484002631579</v>
      </c>
      <c r="I830" s="21">
        <v>1664.8835526315791</v>
      </c>
      <c r="J830" s="21">
        <v>1746.8925000000002</v>
      </c>
      <c r="K830" s="10"/>
    </row>
    <row r="831" spans="1:11" ht="25.5" x14ac:dyDescent="0.2">
      <c r="A831" s="220" t="s">
        <v>1660</v>
      </c>
      <c r="B831" s="224" t="s">
        <v>739</v>
      </c>
      <c r="C831" s="20" t="s">
        <v>740</v>
      </c>
      <c r="D831" s="136" t="s">
        <v>738</v>
      </c>
      <c r="E831" s="12" t="s">
        <v>301</v>
      </c>
      <c r="F831" s="70">
        <v>115</v>
      </c>
      <c r="G831" s="70">
        <v>115</v>
      </c>
      <c r="H831" s="70">
        <v>115</v>
      </c>
      <c r="I831" s="70">
        <v>115</v>
      </c>
      <c r="J831" s="70">
        <v>115</v>
      </c>
      <c r="K831" s="10"/>
    </row>
    <row r="832" spans="1:11" ht="15.75" x14ac:dyDescent="0.2">
      <c r="A832" s="221"/>
      <c r="B832" s="225"/>
      <c r="C832" s="13">
        <v>8.0411011710421598E+19</v>
      </c>
      <c r="D832" s="136" t="s">
        <v>579</v>
      </c>
      <c r="E832" s="14" t="s">
        <v>303</v>
      </c>
      <c r="F832" s="21">
        <v>3360</v>
      </c>
      <c r="G832" s="21">
        <v>3360</v>
      </c>
      <c r="H832" s="21">
        <v>3365.4840026315792</v>
      </c>
      <c r="I832" s="21">
        <v>3384.8835526315788</v>
      </c>
      <c r="J832" s="21">
        <v>3466.8924999999999</v>
      </c>
      <c r="K832" s="10"/>
    </row>
    <row r="833" spans="1:11" ht="25.5" x14ac:dyDescent="0.2">
      <c r="A833" s="220" t="s">
        <v>1661</v>
      </c>
      <c r="B833" s="224" t="s">
        <v>2021</v>
      </c>
      <c r="C833" s="20" t="s">
        <v>701</v>
      </c>
      <c r="D833" s="136" t="s">
        <v>577</v>
      </c>
      <c r="E833" s="12" t="s">
        <v>301</v>
      </c>
      <c r="F833" s="70">
        <v>3</v>
      </c>
      <c r="G833" s="70">
        <v>7</v>
      </c>
      <c r="H833" s="70">
        <v>7</v>
      </c>
      <c r="I833" s="70">
        <v>7</v>
      </c>
      <c r="J833" s="70">
        <v>7</v>
      </c>
      <c r="K833" s="10"/>
    </row>
    <row r="834" spans="1:11" ht="15.75" x14ac:dyDescent="0.2">
      <c r="A834" s="221"/>
      <c r="B834" s="225"/>
      <c r="C834" s="13" t="s">
        <v>741</v>
      </c>
      <c r="D834" s="136" t="s">
        <v>579</v>
      </c>
      <c r="E834" s="14" t="s">
        <v>303</v>
      </c>
      <c r="F834" s="21">
        <v>280.89857142857142</v>
      </c>
      <c r="G834" s="21">
        <v>3604.3</v>
      </c>
      <c r="H834" s="21">
        <v>3656.5049375000003</v>
      </c>
      <c r="I834" s="21">
        <v>3718.0449131250002</v>
      </c>
      <c r="J834" s="21">
        <v>4266.296163125</v>
      </c>
      <c r="K834" s="10"/>
    </row>
    <row r="835" spans="1:11" ht="25.5" x14ac:dyDescent="0.2">
      <c r="A835" s="220" t="s">
        <v>1662</v>
      </c>
      <c r="B835" s="224" t="s">
        <v>2022</v>
      </c>
      <c r="C835" s="20" t="s">
        <v>703</v>
      </c>
      <c r="D835" s="136" t="s">
        <v>577</v>
      </c>
      <c r="E835" s="12" t="s">
        <v>301</v>
      </c>
      <c r="F835" s="70">
        <v>6</v>
      </c>
      <c r="G835" s="70">
        <v>9</v>
      </c>
      <c r="H835" s="70">
        <v>9</v>
      </c>
      <c r="I835" s="70">
        <v>9</v>
      </c>
      <c r="J835" s="70">
        <v>9</v>
      </c>
      <c r="K835" s="10"/>
    </row>
    <row r="836" spans="1:11" ht="15.75" x14ac:dyDescent="0.2">
      <c r="A836" s="221"/>
      <c r="B836" s="225"/>
      <c r="C836" s="13" t="s">
        <v>741</v>
      </c>
      <c r="D836" s="136" t="s">
        <v>579</v>
      </c>
      <c r="E836" s="14" t="s">
        <v>303</v>
      </c>
      <c r="F836" s="21">
        <v>740.43</v>
      </c>
      <c r="G836" s="21">
        <v>2410.1</v>
      </c>
      <c r="H836" s="21">
        <v>2462.3049375000001</v>
      </c>
      <c r="I836" s="21">
        <v>2523.8449131249999</v>
      </c>
      <c r="J836" s="21">
        <v>3072.0961631249997</v>
      </c>
      <c r="K836" s="10"/>
    </row>
    <row r="837" spans="1:11" ht="25.5" x14ac:dyDescent="0.2">
      <c r="A837" s="220" t="s">
        <v>1663</v>
      </c>
      <c r="B837" s="224" t="s">
        <v>2023</v>
      </c>
      <c r="C837" s="20" t="s">
        <v>704</v>
      </c>
      <c r="D837" s="136" t="s">
        <v>577</v>
      </c>
      <c r="E837" s="12" t="s">
        <v>301</v>
      </c>
      <c r="F837" s="70">
        <v>10</v>
      </c>
      <c r="G837" s="70">
        <v>10</v>
      </c>
      <c r="H837" s="70">
        <v>10</v>
      </c>
      <c r="I837" s="70">
        <v>10</v>
      </c>
      <c r="J837" s="70">
        <v>10</v>
      </c>
      <c r="K837" s="10"/>
    </row>
    <row r="838" spans="1:11" ht="15.75" x14ac:dyDescent="0.2">
      <c r="A838" s="221"/>
      <c r="B838" s="225"/>
      <c r="C838" s="13" t="s">
        <v>741</v>
      </c>
      <c r="D838" s="136" t="s">
        <v>579</v>
      </c>
      <c r="E838" s="14" t="s">
        <v>303</v>
      </c>
      <c r="F838" s="21">
        <v>779.53</v>
      </c>
      <c r="G838" s="21">
        <v>1397.82</v>
      </c>
      <c r="H838" s="21">
        <v>1450.0249374999999</v>
      </c>
      <c r="I838" s="21">
        <v>1511.564913125</v>
      </c>
      <c r="J838" s="21">
        <v>2059.816163125</v>
      </c>
      <c r="K838" s="10"/>
    </row>
    <row r="839" spans="1:11" ht="25.5" x14ac:dyDescent="0.2">
      <c r="A839" s="220" t="s">
        <v>1664</v>
      </c>
      <c r="B839" s="224" t="s">
        <v>2024</v>
      </c>
      <c r="C839" s="20" t="s">
        <v>743</v>
      </c>
      <c r="D839" s="136" t="s">
        <v>577</v>
      </c>
      <c r="E839" s="12" t="s">
        <v>301</v>
      </c>
      <c r="F839" s="70">
        <v>48</v>
      </c>
      <c r="G839" s="70">
        <v>48</v>
      </c>
      <c r="H839" s="70">
        <v>48</v>
      </c>
      <c r="I839" s="70">
        <v>48</v>
      </c>
      <c r="J839" s="70">
        <v>48</v>
      </c>
      <c r="K839" s="10"/>
    </row>
    <row r="840" spans="1:11" ht="15.75" x14ac:dyDescent="0.2">
      <c r="A840" s="221"/>
      <c r="B840" s="225"/>
      <c r="C840" s="13" t="s">
        <v>741</v>
      </c>
      <c r="D840" s="136" t="s">
        <v>579</v>
      </c>
      <c r="E840" s="14" t="s">
        <v>303</v>
      </c>
      <c r="F840" s="21">
        <v>1907.5300000000002</v>
      </c>
      <c r="G840" s="21">
        <v>1759.15</v>
      </c>
      <c r="H840" s="21">
        <v>1811.3549375</v>
      </c>
      <c r="I840" s="21">
        <v>1872.8949131250001</v>
      </c>
      <c r="J840" s="21">
        <v>2421.1461631249999</v>
      </c>
      <c r="K840" s="10"/>
    </row>
    <row r="841" spans="1:11" ht="25.5" x14ac:dyDescent="0.2">
      <c r="A841" s="220" t="s">
        <v>1665</v>
      </c>
      <c r="B841" s="224" t="s">
        <v>1918</v>
      </c>
      <c r="C841" s="20" t="s">
        <v>744</v>
      </c>
      <c r="D841" s="136" t="s">
        <v>577</v>
      </c>
      <c r="E841" s="12" t="s">
        <v>301</v>
      </c>
      <c r="F841" s="70">
        <v>40</v>
      </c>
      <c r="G841" s="70">
        <v>50</v>
      </c>
      <c r="H841" s="70">
        <v>50</v>
      </c>
      <c r="I841" s="70">
        <v>50</v>
      </c>
      <c r="J841" s="70">
        <v>50</v>
      </c>
      <c r="K841" s="10"/>
    </row>
    <row r="842" spans="1:11" ht="15.75" x14ac:dyDescent="0.2">
      <c r="A842" s="221"/>
      <c r="B842" s="225"/>
      <c r="C842" s="13" t="s">
        <v>741</v>
      </c>
      <c r="D842" s="136" t="s">
        <v>579</v>
      </c>
      <c r="E842" s="14" t="s">
        <v>303</v>
      </c>
      <c r="F842" s="21">
        <v>5779.53</v>
      </c>
      <c r="G842" s="21">
        <v>6986.74</v>
      </c>
      <c r="H842" s="21">
        <v>7038.9449374999995</v>
      </c>
      <c r="I842" s="21">
        <v>7100.4849131249994</v>
      </c>
      <c r="J842" s="21">
        <v>7648.7361631249996</v>
      </c>
      <c r="K842" s="10"/>
    </row>
    <row r="843" spans="1:11" ht="25.5" x14ac:dyDescent="0.2">
      <c r="A843" s="220" t="s">
        <v>1666</v>
      </c>
      <c r="B843" s="224" t="s">
        <v>1996</v>
      </c>
      <c r="C843" s="20" t="s">
        <v>745</v>
      </c>
      <c r="D843" s="136" t="s">
        <v>577</v>
      </c>
      <c r="E843" s="12" t="s">
        <v>301</v>
      </c>
      <c r="F843" s="70">
        <v>2</v>
      </c>
      <c r="G843" s="70">
        <v>3</v>
      </c>
      <c r="H843" s="70">
        <v>3</v>
      </c>
      <c r="I843" s="70">
        <v>3</v>
      </c>
      <c r="J843" s="70">
        <v>3</v>
      </c>
      <c r="K843" s="10"/>
    </row>
    <row r="844" spans="1:11" ht="15.75" x14ac:dyDescent="0.2">
      <c r="A844" s="221"/>
      <c r="B844" s="225"/>
      <c r="C844" s="13" t="s">
        <v>741</v>
      </c>
      <c r="D844" s="136" t="s">
        <v>579</v>
      </c>
      <c r="E844" s="14" t="s">
        <v>303</v>
      </c>
      <c r="F844" s="21">
        <v>740.43</v>
      </c>
      <c r="G844" s="21">
        <v>1264.68</v>
      </c>
      <c r="H844" s="21">
        <v>1316.8849375</v>
      </c>
      <c r="I844" s="21">
        <v>1378.4249131250001</v>
      </c>
      <c r="J844" s="21">
        <v>1926.6761631250001</v>
      </c>
      <c r="K844" s="10"/>
    </row>
    <row r="845" spans="1:11" ht="25.5" x14ac:dyDescent="0.2">
      <c r="A845" s="220" t="s">
        <v>1667</v>
      </c>
      <c r="B845" s="224" t="s">
        <v>2025</v>
      </c>
      <c r="C845" s="20" t="s">
        <v>746</v>
      </c>
      <c r="D845" s="136" t="s">
        <v>577</v>
      </c>
      <c r="E845" s="12" t="s">
        <v>301</v>
      </c>
      <c r="F845" s="70">
        <v>9</v>
      </c>
      <c r="G845" s="70">
        <v>10</v>
      </c>
      <c r="H845" s="70">
        <v>10</v>
      </c>
      <c r="I845" s="70">
        <v>10</v>
      </c>
      <c r="J845" s="70">
        <v>10</v>
      </c>
      <c r="K845" s="10"/>
    </row>
    <row r="846" spans="1:11" ht="15.75" x14ac:dyDescent="0.2">
      <c r="A846" s="221"/>
      <c r="B846" s="225"/>
      <c r="C846" s="13" t="s">
        <v>741</v>
      </c>
      <c r="D846" s="136" t="s">
        <v>579</v>
      </c>
      <c r="E846" s="14" t="s">
        <v>303</v>
      </c>
      <c r="F846" s="21">
        <v>3654.6800000000003</v>
      </c>
      <c r="G846" s="21">
        <v>8645.6</v>
      </c>
      <c r="H846" s="21">
        <v>8697.804937500001</v>
      </c>
      <c r="I846" s="21">
        <v>8759.3449131249999</v>
      </c>
      <c r="J846" s="21">
        <v>9307.5961631250011</v>
      </c>
      <c r="K846" s="10"/>
    </row>
    <row r="847" spans="1:11" ht="25.5" x14ac:dyDescent="0.2">
      <c r="A847" s="220" t="s">
        <v>1668</v>
      </c>
      <c r="B847" s="224" t="s">
        <v>2026</v>
      </c>
      <c r="C847" s="20" t="s">
        <v>747</v>
      </c>
      <c r="D847" s="136" t="s">
        <v>577</v>
      </c>
      <c r="E847" s="12" t="s">
        <v>301</v>
      </c>
      <c r="F847" s="70">
        <v>0</v>
      </c>
      <c r="G847" s="70">
        <v>70</v>
      </c>
      <c r="H847" s="70">
        <v>70</v>
      </c>
      <c r="I847" s="70">
        <v>70</v>
      </c>
      <c r="J847" s="70">
        <v>70</v>
      </c>
      <c r="K847" s="10"/>
    </row>
    <row r="848" spans="1:11" ht="15.75" x14ac:dyDescent="0.2">
      <c r="A848" s="221"/>
      <c r="B848" s="225"/>
      <c r="C848" s="13" t="s">
        <v>741</v>
      </c>
      <c r="D848" s="136" t="s">
        <v>579</v>
      </c>
      <c r="E848" s="14" t="s">
        <v>303</v>
      </c>
      <c r="F848" s="21">
        <v>0</v>
      </c>
      <c r="G848" s="21">
        <v>2410.67</v>
      </c>
      <c r="H848" s="21">
        <v>2462.8749375000002</v>
      </c>
      <c r="I848" s="21">
        <v>2524.4149131250001</v>
      </c>
      <c r="J848" s="21">
        <v>3072.6661631249999</v>
      </c>
      <c r="K848" s="10"/>
    </row>
    <row r="849" spans="1:11" ht="25.5" x14ac:dyDescent="0.2">
      <c r="A849" s="220" t="s">
        <v>1669</v>
      </c>
      <c r="B849" s="224" t="s">
        <v>1926</v>
      </c>
      <c r="C849" s="20" t="s">
        <v>748</v>
      </c>
      <c r="D849" s="136" t="s">
        <v>577</v>
      </c>
      <c r="E849" s="12" t="s">
        <v>301</v>
      </c>
      <c r="F849" s="70">
        <v>8</v>
      </c>
      <c r="G849" s="70">
        <v>8</v>
      </c>
      <c r="H849" s="70">
        <v>8</v>
      </c>
      <c r="I849" s="70">
        <v>8</v>
      </c>
      <c r="J849" s="70">
        <v>8</v>
      </c>
      <c r="K849" s="10"/>
    </row>
    <row r="850" spans="1:11" ht="15.75" x14ac:dyDescent="0.2">
      <c r="A850" s="221"/>
      <c r="B850" s="225"/>
      <c r="C850" s="13" t="s">
        <v>741</v>
      </c>
      <c r="D850" s="136" t="s">
        <v>579</v>
      </c>
      <c r="E850" s="14" t="s">
        <v>303</v>
      </c>
      <c r="F850" s="21">
        <v>1606.4299999999998</v>
      </c>
      <c r="G850" s="21">
        <v>893.82</v>
      </c>
      <c r="H850" s="21">
        <v>946.02493750000008</v>
      </c>
      <c r="I850" s="21">
        <v>1007.564913125</v>
      </c>
      <c r="J850" s="21">
        <v>1555.816163125</v>
      </c>
      <c r="K850" s="10"/>
    </row>
    <row r="851" spans="1:11" ht="25.5" x14ac:dyDescent="0.2">
      <c r="A851" s="220" t="s">
        <v>1670</v>
      </c>
      <c r="B851" s="224" t="s">
        <v>1984</v>
      </c>
      <c r="C851" s="20" t="s">
        <v>749</v>
      </c>
      <c r="D851" s="136" t="s">
        <v>577</v>
      </c>
      <c r="E851" s="12" t="s">
        <v>301</v>
      </c>
      <c r="F851" s="70">
        <v>19</v>
      </c>
      <c r="G851" s="70">
        <v>32</v>
      </c>
      <c r="H851" s="70">
        <v>32</v>
      </c>
      <c r="I851" s="70">
        <v>32</v>
      </c>
      <c r="J851" s="70">
        <v>32</v>
      </c>
      <c r="K851" s="10"/>
    </row>
    <row r="852" spans="1:11" ht="15.75" x14ac:dyDescent="0.2">
      <c r="A852" s="221"/>
      <c r="B852" s="225"/>
      <c r="C852" s="13" t="s">
        <v>741</v>
      </c>
      <c r="D852" s="136" t="s">
        <v>579</v>
      </c>
      <c r="E852" s="14" t="s">
        <v>303</v>
      </c>
      <c r="F852" s="21">
        <v>1658.6608823529414</v>
      </c>
      <c r="G852" s="21">
        <v>5651.92</v>
      </c>
      <c r="H852" s="21">
        <v>5704.1249374999998</v>
      </c>
      <c r="I852" s="21">
        <v>5765.6649131249997</v>
      </c>
      <c r="J852" s="21">
        <v>6313.9161631249999</v>
      </c>
      <c r="K852" s="10"/>
    </row>
    <row r="853" spans="1:11" ht="25.5" x14ac:dyDescent="0.2">
      <c r="A853" s="220" t="s">
        <v>1671</v>
      </c>
      <c r="B853" s="224" t="s">
        <v>2027</v>
      </c>
      <c r="C853" s="20" t="s">
        <v>750</v>
      </c>
      <c r="D853" s="136" t="s">
        <v>577</v>
      </c>
      <c r="E853" s="12" t="s">
        <v>301</v>
      </c>
      <c r="F853" s="70">
        <v>20</v>
      </c>
      <c r="G853" s="70">
        <v>18</v>
      </c>
      <c r="H853" s="70">
        <v>18</v>
      </c>
      <c r="I853" s="70">
        <v>18</v>
      </c>
      <c r="J853" s="70">
        <v>18</v>
      </c>
      <c r="K853" s="10"/>
    </row>
    <row r="854" spans="1:11" ht="15.75" x14ac:dyDescent="0.2">
      <c r="A854" s="221"/>
      <c r="B854" s="225"/>
      <c r="C854" s="13" t="s">
        <v>741</v>
      </c>
      <c r="D854" s="136" t="s">
        <v>579</v>
      </c>
      <c r="E854" s="14" t="s">
        <v>303</v>
      </c>
      <c r="F854" s="21">
        <v>3935.9300000000007</v>
      </c>
      <c r="G854" s="21">
        <v>881.19399999999996</v>
      </c>
      <c r="H854" s="21">
        <v>933.39893749999999</v>
      </c>
      <c r="I854" s="21">
        <v>994.938913125</v>
      </c>
      <c r="J854" s="21">
        <v>1543.190163125</v>
      </c>
      <c r="K854" s="10"/>
    </row>
    <row r="855" spans="1:11" ht="25.5" x14ac:dyDescent="0.2">
      <c r="A855" s="220" t="s">
        <v>1672</v>
      </c>
      <c r="B855" s="224" t="s">
        <v>751</v>
      </c>
      <c r="C855" s="20" t="s">
        <v>752</v>
      </c>
      <c r="D855" s="136" t="s">
        <v>577</v>
      </c>
      <c r="E855" s="12" t="s">
        <v>301</v>
      </c>
      <c r="F855" s="70">
        <v>1818</v>
      </c>
      <c r="G855" s="70" t="s">
        <v>780</v>
      </c>
      <c r="H855" s="70" t="s">
        <v>780</v>
      </c>
      <c r="I855" s="70" t="s">
        <v>780</v>
      </c>
      <c r="J855" s="70" t="s">
        <v>780</v>
      </c>
      <c r="K855" s="10"/>
    </row>
    <row r="856" spans="1:11" ht="15.75" x14ac:dyDescent="0.2">
      <c r="A856" s="221"/>
      <c r="B856" s="225"/>
      <c r="C856" s="13" t="s">
        <v>741</v>
      </c>
      <c r="D856" s="136" t="s">
        <v>579</v>
      </c>
      <c r="E856" s="14" t="s">
        <v>303</v>
      </c>
      <c r="F856" s="21">
        <v>10855.943606557377</v>
      </c>
      <c r="G856" s="21" t="s">
        <v>780</v>
      </c>
      <c r="H856" s="21" t="s">
        <v>780</v>
      </c>
      <c r="I856" s="21" t="s">
        <v>780</v>
      </c>
      <c r="J856" s="21" t="s">
        <v>780</v>
      </c>
      <c r="K856" s="10"/>
    </row>
    <row r="857" spans="1:11" ht="25.5" x14ac:dyDescent="0.2">
      <c r="A857" s="220" t="s">
        <v>1673</v>
      </c>
      <c r="B857" s="224" t="s">
        <v>753</v>
      </c>
      <c r="C857" s="20" t="s">
        <v>754</v>
      </c>
      <c r="D857" s="136" t="s">
        <v>577</v>
      </c>
      <c r="E857" s="12" t="s">
        <v>301</v>
      </c>
      <c r="F857" s="70">
        <v>54</v>
      </c>
      <c r="G857" s="70" t="s">
        <v>780</v>
      </c>
      <c r="H857" s="70" t="s">
        <v>780</v>
      </c>
      <c r="I857" s="70" t="s">
        <v>780</v>
      </c>
      <c r="J857" s="70" t="s">
        <v>780</v>
      </c>
      <c r="K857" s="10"/>
    </row>
    <row r="858" spans="1:11" ht="15.75" x14ac:dyDescent="0.2">
      <c r="A858" s="221"/>
      <c r="B858" s="225"/>
      <c r="C858" s="13" t="s">
        <v>741</v>
      </c>
      <c r="D858" s="136" t="s">
        <v>579</v>
      </c>
      <c r="E858" s="14" t="s">
        <v>303</v>
      </c>
      <c r="F858" s="21">
        <v>46595.14</v>
      </c>
      <c r="G858" s="21" t="s">
        <v>780</v>
      </c>
      <c r="H858" s="21" t="s">
        <v>780</v>
      </c>
      <c r="I858" s="21" t="s">
        <v>780</v>
      </c>
      <c r="J858" s="21" t="s">
        <v>780</v>
      </c>
      <c r="K858" s="10"/>
    </row>
    <row r="859" spans="1:11" ht="15.75" x14ac:dyDescent="0.2">
      <c r="A859" s="220" t="s">
        <v>1674</v>
      </c>
      <c r="B859" s="224" t="s">
        <v>755</v>
      </c>
      <c r="C859" s="20" t="s">
        <v>756</v>
      </c>
      <c r="D859" s="136" t="s">
        <v>316</v>
      </c>
      <c r="E859" s="12" t="s">
        <v>757</v>
      </c>
      <c r="F859" s="70">
        <v>0</v>
      </c>
      <c r="G859" s="70">
        <v>21</v>
      </c>
      <c r="H859" s="70">
        <v>21</v>
      </c>
      <c r="I859" s="70">
        <v>21</v>
      </c>
      <c r="J859" s="70">
        <v>21</v>
      </c>
      <c r="K859" s="10"/>
    </row>
    <row r="860" spans="1:11" ht="15.75" x14ac:dyDescent="0.2">
      <c r="A860" s="221"/>
      <c r="B860" s="225"/>
      <c r="C860" s="13" t="s">
        <v>741</v>
      </c>
      <c r="D860" s="136" t="s">
        <v>579</v>
      </c>
      <c r="E860" s="14" t="s">
        <v>303</v>
      </c>
      <c r="F860" s="21">
        <v>0</v>
      </c>
      <c r="G860" s="21">
        <v>5533.7510000000002</v>
      </c>
      <c r="H860" s="21">
        <v>5585.9559374999999</v>
      </c>
      <c r="I860" s="21">
        <v>5647.4959131249998</v>
      </c>
      <c r="J860" s="21">
        <v>6195.747163125</v>
      </c>
      <c r="K860" s="10"/>
    </row>
    <row r="861" spans="1:11" ht="25.5" x14ac:dyDescent="0.2">
      <c r="A861" s="220" t="s">
        <v>1675</v>
      </c>
      <c r="B861" s="224" t="s">
        <v>758</v>
      </c>
      <c r="C861" s="20" t="s">
        <v>759</v>
      </c>
      <c r="D861" s="136" t="s">
        <v>577</v>
      </c>
      <c r="E861" s="12" t="s">
        <v>301</v>
      </c>
      <c r="F861" s="70">
        <v>0</v>
      </c>
      <c r="G861" s="70">
        <v>0</v>
      </c>
      <c r="H861" s="70">
        <v>200</v>
      </c>
      <c r="I861" s="70">
        <v>200</v>
      </c>
      <c r="J861" s="70">
        <v>200</v>
      </c>
      <c r="K861" s="10"/>
    </row>
    <row r="862" spans="1:11" ht="15.75" x14ac:dyDescent="0.2">
      <c r="A862" s="221"/>
      <c r="B862" s="225"/>
      <c r="C862" s="13" t="s">
        <v>741</v>
      </c>
      <c r="D862" s="136" t="s">
        <v>579</v>
      </c>
      <c r="E862" s="14" t="s">
        <v>303</v>
      </c>
      <c r="F862" s="21">
        <v>0</v>
      </c>
      <c r="G862" s="21">
        <v>0</v>
      </c>
      <c r="H862" s="21">
        <v>52.2049375</v>
      </c>
      <c r="I862" s="21">
        <v>113.74491312500001</v>
      </c>
      <c r="J862" s="21">
        <v>661.99616312500007</v>
      </c>
      <c r="K862" s="10"/>
    </row>
    <row r="863" spans="1:11" ht="15.75" x14ac:dyDescent="0.2">
      <c r="A863" s="220" t="s">
        <v>1676</v>
      </c>
      <c r="B863" s="224" t="s">
        <v>760</v>
      </c>
      <c r="C863" s="20" t="s">
        <v>761</v>
      </c>
      <c r="D863" s="136" t="s">
        <v>536</v>
      </c>
      <c r="E863" s="12" t="s">
        <v>301</v>
      </c>
      <c r="F863" s="70">
        <v>0</v>
      </c>
      <c r="G863" s="70">
        <v>300</v>
      </c>
      <c r="H863" s="70">
        <v>300</v>
      </c>
      <c r="I863" s="70">
        <v>300</v>
      </c>
      <c r="J863" s="70">
        <v>300</v>
      </c>
      <c r="K863" s="10"/>
    </row>
    <row r="864" spans="1:11" ht="15.75" x14ac:dyDescent="0.2">
      <c r="A864" s="221"/>
      <c r="B864" s="225"/>
      <c r="C864" s="13" t="s">
        <v>741</v>
      </c>
      <c r="D864" s="136" t="s">
        <v>579</v>
      </c>
      <c r="E864" s="14" t="s">
        <v>303</v>
      </c>
      <c r="F864" s="21">
        <v>0</v>
      </c>
      <c r="G864" s="21">
        <v>13518.691999999999</v>
      </c>
      <c r="H864" s="21">
        <v>13570.8969375</v>
      </c>
      <c r="I864" s="21">
        <v>13632.436913124999</v>
      </c>
      <c r="J864" s="21">
        <v>14180.688163125</v>
      </c>
      <c r="K864" s="10"/>
    </row>
    <row r="865" spans="1:11" ht="15.75" x14ac:dyDescent="0.2">
      <c r="A865" s="220" t="s">
        <v>1677</v>
      </c>
      <c r="B865" s="224" t="s">
        <v>762</v>
      </c>
      <c r="C865" s="20" t="s">
        <v>763</v>
      </c>
      <c r="D865" s="136" t="s">
        <v>316</v>
      </c>
      <c r="E865" s="12" t="s">
        <v>757</v>
      </c>
      <c r="F865" s="70">
        <v>0</v>
      </c>
      <c r="G865" s="70">
        <v>48</v>
      </c>
      <c r="H865" s="70">
        <v>48</v>
      </c>
      <c r="I865" s="70">
        <v>48</v>
      </c>
      <c r="J865" s="70">
        <v>48</v>
      </c>
      <c r="K865" s="10"/>
    </row>
    <row r="866" spans="1:11" ht="15.75" x14ac:dyDescent="0.2">
      <c r="A866" s="221"/>
      <c r="B866" s="225"/>
      <c r="C866" s="13" t="s">
        <v>741</v>
      </c>
      <c r="D866" s="136" t="s">
        <v>579</v>
      </c>
      <c r="E866" s="14" t="s">
        <v>303</v>
      </c>
      <c r="F866" s="21">
        <v>0</v>
      </c>
      <c r="G866" s="21">
        <v>11884.564</v>
      </c>
      <c r="H866" s="21">
        <v>11936.768937500001</v>
      </c>
      <c r="I866" s="21">
        <v>11998.308913125</v>
      </c>
      <c r="J866" s="21">
        <v>12546.560163125001</v>
      </c>
      <c r="K866" s="10"/>
    </row>
    <row r="867" spans="1:11" ht="15.75" x14ac:dyDescent="0.2">
      <c r="A867" s="220" t="s">
        <v>1678</v>
      </c>
      <c r="B867" s="224" t="s">
        <v>764</v>
      </c>
      <c r="C867" s="20" t="s">
        <v>765</v>
      </c>
      <c r="D867" s="136" t="s">
        <v>536</v>
      </c>
      <c r="E867" s="12" t="s">
        <v>301</v>
      </c>
      <c r="F867" s="70">
        <v>234</v>
      </c>
      <c r="G867" s="70">
        <v>277</v>
      </c>
      <c r="H867" s="70">
        <v>277</v>
      </c>
      <c r="I867" s="70">
        <v>277</v>
      </c>
      <c r="J867" s="70">
        <v>277</v>
      </c>
      <c r="K867" s="10"/>
    </row>
    <row r="868" spans="1:11" ht="15.75" x14ac:dyDescent="0.2">
      <c r="A868" s="221"/>
      <c r="B868" s="225"/>
      <c r="C868" s="13" t="s">
        <v>741</v>
      </c>
      <c r="D868" s="136" t="s">
        <v>579</v>
      </c>
      <c r="E868" s="14" t="s">
        <v>303</v>
      </c>
      <c r="F868" s="21">
        <v>7646.0300000000007</v>
      </c>
      <c r="G868" s="21">
        <v>20259.719000000001</v>
      </c>
      <c r="H868" s="21">
        <v>20259.72</v>
      </c>
      <c r="I868" s="21">
        <v>20373.004000000001</v>
      </c>
      <c r="J868" s="21">
        <v>20921.715163125002</v>
      </c>
      <c r="K868" s="10"/>
    </row>
    <row r="869" spans="1:11" ht="25.5" x14ac:dyDescent="0.2">
      <c r="A869" s="220" t="s">
        <v>1679</v>
      </c>
      <c r="B869" s="224" t="s">
        <v>739</v>
      </c>
      <c r="C869" s="20" t="s">
        <v>766</v>
      </c>
      <c r="D869" s="136" t="s">
        <v>577</v>
      </c>
      <c r="E869" s="12" t="s">
        <v>301</v>
      </c>
      <c r="F869" s="70">
        <v>25</v>
      </c>
      <c r="G869" s="70">
        <v>25</v>
      </c>
      <c r="H869" s="70">
        <v>25</v>
      </c>
      <c r="I869" s="70">
        <v>25</v>
      </c>
      <c r="J869" s="70">
        <v>25</v>
      </c>
      <c r="K869" s="10"/>
    </row>
    <row r="870" spans="1:11" ht="15.75" x14ac:dyDescent="0.2">
      <c r="A870" s="221"/>
      <c r="B870" s="225"/>
      <c r="C870" s="13" t="s">
        <v>741</v>
      </c>
      <c r="D870" s="136" t="s">
        <v>579</v>
      </c>
      <c r="E870" s="14" t="s">
        <v>303</v>
      </c>
      <c r="F870" s="21">
        <v>4613.63</v>
      </c>
      <c r="G870" s="21">
        <v>6024.6260000000002</v>
      </c>
      <c r="H870" s="21">
        <v>6076.8309374999999</v>
      </c>
      <c r="I870" s="21">
        <v>6138.3709131249998</v>
      </c>
      <c r="J870" s="21">
        <v>6684.38</v>
      </c>
      <c r="K870" s="10"/>
    </row>
    <row r="871" spans="1:11" ht="25.5" x14ac:dyDescent="0.2">
      <c r="A871" s="220" t="s">
        <v>1680</v>
      </c>
      <c r="B871" s="224" t="s">
        <v>768</v>
      </c>
      <c r="C871" s="20" t="s">
        <v>769</v>
      </c>
      <c r="D871" s="136" t="s">
        <v>577</v>
      </c>
      <c r="E871" s="12" t="s">
        <v>770</v>
      </c>
      <c r="F871" s="70">
        <v>6300</v>
      </c>
      <c r="G871" s="70">
        <v>6500</v>
      </c>
      <c r="H871" s="70">
        <v>6500</v>
      </c>
      <c r="I871" s="70">
        <v>6500</v>
      </c>
      <c r="J871" s="70">
        <v>6500</v>
      </c>
      <c r="K871" s="10"/>
    </row>
    <row r="872" spans="1:11" ht="15.75" x14ac:dyDescent="0.2">
      <c r="A872" s="221"/>
      <c r="B872" s="225"/>
      <c r="C872" s="13" t="s">
        <v>771</v>
      </c>
      <c r="D872" s="136" t="s">
        <v>579</v>
      </c>
      <c r="E872" s="14" t="s">
        <v>303</v>
      </c>
      <c r="F872" s="21">
        <v>2131.58</v>
      </c>
      <c r="G872" s="21">
        <v>1980.4179999999999</v>
      </c>
      <c r="H872" s="21">
        <v>3268.4226666666664</v>
      </c>
      <c r="I872" s="21">
        <v>3923.757713333333</v>
      </c>
      <c r="J872" s="21">
        <v>5370.4894700000004</v>
      </c>
      <c r="K872" s="10"/>
    </row>
    <row r="873" spans="1:11" ht="25.5" x14ac:dyDescent="0.2">
      <c r="A873" s="220" t="s">
        <v>1681</v>
      </c>
      <c r="B873" s="224" t="s">
        <v>773</v>
      </c>
      <c r="C873" s="20" t="s">
        <v>774</v>
      </c>
      <c r="D873" s="136" t="s">
        <v>577</v>
      </c>
      <c r="E873" s="12" t="s">
        <v>770</v>
      </c>
      <c r="F873" s="70">
        <v>6300</v>
      </c>
      <c r="G873" s="70" t="s">
        <v>780</v>
      </c>
      <c r="H873" s="70" t="s">
        <v>780</v>
      </c>
      <c r="I873" s="70" t="s">
        <v>780</v>
      </c>
      <c r="J873" s="70" t="s">
        <v>780</v>
      </c>
      <c r="K873" s="10"/>
    </row>
    <row r="874" spans="1:11" ht="15.75" x14ac:dyDescent="0.2">
      <c r="A874" s="221"/>
      <c r="B874" s="225"/>
      <c r="C874" s="13" t="s">
        <v>771</v>
      </c>
      <c r="D874" s="136" t="s">
        <v>579</v>
      </c>
      <c r="E874" s="14" t="s">
        <v>303</v>
      </c>
      <c r="F874" s="21">
        <v>25655.18</v>
      </c>
      <c r="G874" s="21" t="s">
        <v>780</v>
      </c>
      <c r="H874" s="21" t="s">
        <v>780</v>
      </c>
      <c r="I874" s="21" t="s">
        <v>780</v>
      </c>
      <c r="J874" s="21" t="s">
        <v>780</v>
      </c>
      <c r="K874" s="10"/>
    </row>
    <row r="875" spans="1:11" ht="25.5" x14ac:dyDescent="0.2">
      <c r="A875" s="220" t="s">
        <v>1682</v>
      </c>
      <c r="B875" s="224" t="s">
        <v>775</v>
      </c>
      <c r="C875" s="20" t="s">
        <v>769</v>
      </c>
      <c r="D875" s="136" t="s">
        <v>577</v>
      </c>
      <c r="E875" s="12" t="s">
        <v>770</v>
      </c>
      <c r="F875" s="70">
        <v>90010.2</v>
      </c>
      <c r="G875" s="70">
        <v>91000</v>
      </c>
      <c r="H875" s="70">
        <v>91000</v>
      </c>
      <c r="I875" s="70">
        <v>91000</v>
      </c>
      <c r="J875" s="70">
        <v>91000</v>
      </c>
      <c r="K875" s="10"/>
    </row>
    <row r="876" spans="1:11" ht="15.75" x14ac:dyDescent="0.2">
      <c r="A876" s="221"/>
      <c r="B876" s="225"/>
      <c r="C876" s="13" t="s">
        <v>771</v>
      </c>
      <c r="D876" s="136" t="s">
        <v>579</v>
      </c>
      <c r="E876" s="14" t="s">
        <v>303</v>
      </c>
      <c r="F876" s="21">
        <v>2131.811577933333</v>
      </c>
      <c r="G876" s="21">
        <v>23703.133999999998</v>
      </c>
      <c r="H876" s="21">
        <v>24991.138666666666</v>
      </c>
      <c r="I876" s="21">
        <v>25646.473713333333</v>
      </c>
      <c r="J876" s="21">
        <v>27093.205469999997</v>
      </c>
      <c r="K876" s="10"/>
    </row>
    <row r="877" spans="1:11" ht="25.5" x14ac:dyDescent="0.2">
      <c r="A877" s="220" t="s">
        <v>1683</v>
      </c>
      <c r="B877" s="224" t="s">
        <v>776</v>
      </c>
      <c r="C877" s="20" t="s">
        <v>769</v>
      </c>
      <c r="D877" s="136" t="s">
        <v>577</v>
      </c>
      <c r="E877" s="12" t="s">
        <v>770</v>
      </c>
      <c r="F877" s="70">
        <v>8204</v>
      </c>
      <c r="G877" s="70">
        <v>8500</v>
      </c>
      <c r="H877" s="70">
        <v>8500</v>
      </c>
      <c r="I877" s="70">
        <v>8500</v>
      </c>
      <c r="J877" s="70">
        <v>8500</v>
      </c>
      <c r="K877" s="10"/>
    </row>
    <row r="878" spans="1:11" ht="30" customHeight="1" x14ac:dyDescent="0.2">
      <c r="A878" s="221"/>
      <c r="B878" s="225"/>
      <c r="C878" s="13" t="s">
        <v>771</v>
      </c>
      <c r="D878" s="136" t="s">
        <v>579</v>
      </c>
      <c r="E878" s="14" t="s">
        <v>303</v>
      </c>
      <c r="F878" s="21">
        <v>5701.2397365853658</v>
      </c>
      <c r="G878" s="21">
        <v>5260.4859999999999</v>
      </c>
      <c r="H878" s="21">
        <v>6548.4906666666666</v>
      </c>
      <c r="I878" s="21">
        <v>7203.8257133333327</v>
      </c>
      <c r="J878" s="21">
        <v>8650.5574699999997</v>
      </c>
      <c r="K878" s="10"/>
    </row>
    <row r="879" spans="1:11" s="89" customFormat="1" ht="42.75" customHeight="1" x14ac:dyDescent="0.2">
      <c r="A879" s="228" t="s">
        <v>777</v>
      </c>
      <c r="B879" s="229"/>
      <c r="C879" s="229"/>
      <c r="D879" s="230"/>
      <c r="E879" s="121" t="s">
        <v>303</v>
      </c>
      <c r="F879" s="122">
        <f>SUM(F878,F876,F874,F872,F870,F868,F858,F856,F854,F852,F850,F846,F844,F842,F840,F838,F836,F834,F828,F826,F824,F822,F820,F818,F816,F814,F812,F810,F808,F806,F802,F800,F798,F796,F794,F792,F790,F788,F786,F784,F778,F776,F774,F772,F770,F768,F766,F764,F762,F760,F758,F756,F754,F752,F750,F748,F746,F744,F742,F740,F738,F736,F734,F732,F730,F728,F726,F724,F722,F720,F718,F716,F714,F712,F710,F708,F706,F704,F702,F700,F698,F696,F694,F692,F690,F688,F686,F684,F682,F680,F678,F676,F674,F672,F670,F668,F666,F664,F662,F660,F658,F656,F654,F652,F650,F648,F646,F644,F642,F640,F638,F636,F634,F632,F630,F628,F626,F624,F622,F620,F618,F616,F614,F612,F610,F608,F606,F604,F602,F600,F598,F596,F594,F592,F590,F588,F586,F584,F582,F580,F578,F576,F574,F572,F570,F568,F565,F563,F561,F559,F557,F555,F553,F551,F549,F547,F545,F543,F541,F539,F537,F535,F533,F531,F529,F527,F525,F523,F521,F519,F517,F515,F513,F511,F509,F507,F780,F782,F804,F830,F832,F848,F860,F862,F864,F866)</f>
        <v>508926.29878090159</v>
      </c>
      <c r="G879" s="122">
        <f>SUM(G878,G876,G872,G870,G868,G866,G864,G860,G854,G852,G850,G848,G846,G844,G842,G840,G838,G836,G834,G832,G830,G828,G826,G824,G822,G820,G818,G816,G812,G810,G806,G804,G802,G798,G796,G794,G792,G788,G784,G778,G776,G774,G772,G770,G764,G762,G760,G758,G756,G754,G752,G750,G748,G746,G744,G742,G740,G738,G736,G734,G732,G730,G728,G726,G724,G722,G720,G718,G716,G714,G712,G710,G708,G706,G704,G702,G700,G698,G696,G694,G692,G690,G688,G686,G684,G682,G680,G678,G676,G674,G672,G670,G668,G666,G664,G662,G660,G658,G656,G654,G652,G650,G648,G646,G644,G642,G640,G638,G636,G634,G632,G630,G628,G626,G624,G622,G620,G618,G616,G614,G612,G610,G608,G606,G604,G602,G600,G598,G596,G594,G592,G590,G588,G586,G584,G582,G580,G578,G576,G574,G572,G570,G568,G565,G563,G561,G559,G557,G555,G554,G554,G553,G551,G549,G547,G545,G543,G541,G539,G537,G535,G533,G531,G529,G527,G525,G523,G521,G519,G517,G515,G513,G511,G509,G507,G566)</f>
        <v>503554.8461999998</v>
      </c>
      <c r="H879" s="122">
        <f>SUM(H878,H876,H872,H870,H868,H866,H864,H862,H860,H854,H852,H850,H848,H846,H844,H842,H840,H838,H836,H834,H832,H830,H828,H826,H824,H822,H820,H818,H816,H812,H810,H806,H804,H802,H798,H796,H794,H792,H788,H784,H778,H776,H774,H772,H770,H764,H762,H760,H758,H756,H754,H752,H750,H748,H746,H744,H742,H740,H738,H736,H734,H732,H730,H728,H726,H724,H722,H720,H718,H716,H714,H712,H710,H708,H706,H704,H702,H700,H698,H696,H694,H692,H690,H688,H686,H684,H682,H680,H678,H676,H674,H672,H670,H668,H666,H664,H662,H660,H658,H656,H654,H652,H650,H648,H646,H644,H642,H640,H638,H636,H634,H632,H630,H628,H626,H624,H622,H620,H618,H616,H614,H612,H610,H608,H606,H604,H602,H600,H598,H596,H594,H592,H590,H588,H586,H584,H582,H580,H578,H576,H574,H572,H570,H568,H565,H563,H561,H559,H557,H555,H553,H551,H549,H547,H545,H543,H541,H539,H537,H535,H533,H531,H529,H527,H525,H523,H521,H519,H517,H515,H513,H511,H509,H507)</f>
        <v>509051.9795640494</v>
      </c>
      <c r="I879" s="122">
        <f>SUM(I878,I876,I872,I870,I868,I866,I864,I862,I860,I854,I852,I850,I848,I846,I844,I842,I840,I838,I836,I834,I832,I830,I828,I826,I824,I822,I820,I818,I816,I812,I810,I806,I804,I802,I798,I796,I794,I792,I788,I784,I778,I776,I774,I772,I770,I764,I762,I760,I758,I756,I754,I752,I750,I748,I746,I744,I742,I740,I738,I736,I734,I732,I730,I728,I726,I724,I722,I720,I718,I716,I714,I712,I710,I708,I706,I704,I702,I700,I698,I696,I694,I692,I690,I688,I686,I684,I682,I680,I678,I676,I674,I672,I670,I668,I666,I664,I662,I660,I658,I656,I654,I652,I650,I648,I646,I644,I642,I640,I638,I636,I634,I632,I630,I628,I626,I624,I622,I620,I618,I616,I614,I612,I610,I608,I606,I604,I602,I600,I598,I596,I594,I592,I590,I588,I586,I584,I582,I580,I578,I576,I574,I572,I570,I568,I565,I563,I561,I559,I557,I555,I553,I551,I549,I547,I545,I543,I541,I539,I537,I535,I533,I531,I529,I527,I525,I523,I521,I519,I517,I515,I513,I511,I509,I507)</f>
        <v>515491.19899999991</v>
      </c>
      <c r="J879" s="122">
        <f>SUM(J878,J876,J872,J870,J868,J866,J864,J862,J860,J854,J852,J850,J848,J846,J844,J842,J840,J838,J836,J834,J832,J830,J828,J826,J824,J822,J820,J818,J816,J812,J810,J806,J804,J802,J798,J796,J794,J792,J788,J784,J778,J776,J774,J772,J770,J764,J762,J760,J758,J756,J754,J752,J750,J748,J746,J744,J742,J740,J738,J736,J734,J732,J730,J728,J726,J724,J722,J720,J718,J716,J714,J712,J710,J708,J706,J704,J702,J700,J698,J696,J694,J692,J690,J688,J686,J684,J682,J680,,J678,J676,J674,J672,J670,J668,J666,J664,J662,J660,J658,J656,J654,J652,J650,J648,J646,J644,J642,J640,J638,J636,J634,J632,J630,J628,J626,J624,J622,J620,J618,J616,J614,J612,J610,J608,J606,J604,J602,J600,J598,J596,J594,J592,J590,J588,J586,J584,J582,J580,J578,J576,J574,J572,J570,J568,J565,J563,J561,J559,J557,J555,J553,J551,J549,J547,J545,J543,J541,J539,J537,J535,J533,J531,J529,J527,J525,J523,J521,J519,J517,J515,J513,J511,J509,J507,J566)</f>
        <v>592273.41327000014</v>
      </c>
      <c r="K879" s="88"/>
    </row>
    <row r="880" spans="1:11" s="86" customFormat="1" ht="15.75" customHeight="1" x14ac:dyDescent="0.25">
      <c r="A880" s="174" t="s">
        <v>1383</v>
      </c>
      <c r="B880" s="211" t="s">
        <v>807</v>
      </c>
      <c r="C880" s="211"/>
      <c r="D880" s="211"/>
      <c r="E880" s="211"/>
      <c r="F880" s="211"/>
      <c r="G880" s="211"/>
      <c r="H880" s="211"/>
      <c r="I880" s="211"/>
      <c r="J880" s="212"/>
      <c r="K880" s="85"/>
    </row>
    <row r="881" spans="1:11" ht="66" customHeight="1" x14ac:dyDescent="0.2">
      <c r="A881" s="218" t="s">
        <v>1384</v>
      </c>
      <c r="B881" s="259" t="s">
        <v>822</v>
      </c>
      <c r="C881" s="34" t="s">
        <v>808</v>
      </c>
      <c r="D881" s="133" t="s">
        <v>825</v>
      </c>
      <c r="E881" s="146" t="s">
        <v>12</v>
      </c>
      <c r="F881" s="58">
        <v>0</v>
      </c>
      <c r="G881" s="58">
        <v>200</v>
      </c>
      <c r="H881" s="58">
        <v>1100</v>
      </c>
      <c r="I881" s="58">
        <v>100</v>
      </c>
      <c r="J881" s="58">
        <v>100</v>
      </c>
      <c r="K881" s="10"/>
    </row>
    <row r="882" spans="1:11" ht="78.75" customHeight="1" x14ac:dyDescent="0.2">
      <c r="A882" s="219"/>
      <c r="B882" s="217"/>
      <c r="C882" s="35" t="s">
        <v>810</v>
      </c>
      <c r="D882" s="144" t="s">
        <v>302</v>
      </c>
      <c r="E882" s="146" t="s">
        <v>303</v>
      </c>
      <c r="F882" s="58">
        <v>0</v>
      </c>
      <c r="G882" s="58">
        <v>773.88</v>
      </c>
      <c r="H882" s="58">
        <v>476.7</v>
      </c>
      <c r="I882" s="58">
        <v>476.7</v>
      </c>
      <c r="J882" s="58">
        <v>476.7</v>
      </c>
      <c r="K882" s="10"/>
    </row>
    <row r="883" spans="1:11" ht="67.5" customHeight="1" x14ac:dyDescent="0.2">
      <c r="A883" s="218" t="s">
        <v>1684</v>
      </c>
      <c r="B883" s="259" t="s">
        <v>822</v>
      </c>
      <c r="C883" s="35" t="s">
        <v>809</v>
      </c>
      <c r="D883" s="160" t="s">
        <v>825</v>
      </c>
      <c r="E883" s="146" t="s">
        <v>12</v>
      </c>
      <c r="F883" s="58">
        <v>0</v>
      </c>
      <c r="G883" s="58">
        <v>200</v>
      </c>
      <c r="H883" s="58">
        <v>0</v>
      </c>
      <c r="I883" s="58">
        <v>0</v>
      </c>
      <c r="J883" s="58">
        <v>0</v>
      </c>
      <c r="K883" s="10"/>
    </row>
    <row r="884" spans="1:11" ht="46.5" customHeight="1" x14ac:dyDescent="0.2">
      <c r="A884" s="219"/>
      <c r="B884" s="217"/>
      <c r="C884" s="35" t="s">
        <v>810</v>
      </c>
      <c r="D884" s="139" t="s">
        <v>302</v>
      </c>
      <c r="E884" s="146" t="s">
        <v>303</v>
      </c>
      <c r="F884" s="58">
        <v>0</v>
      </c>
      <c r="G884" s="58">
        <v>773.88</v>
      </c>
      <c r="H884" s="58">
        <v>0</v>
      </c>
      <c r="I884" s="58">
        <v>0</v>
      </c>
      <c r="J884" s="58">
        <v>0</v>
      </c>
      <c r="K884" s="10"/>
    </row>
    <row r="885" spans="1:11" ht="99" customHeight="1" x14ac:dyDescent="0.2">
      <c r="A885" s="218" t="s">
        <v>1685</v>
      </c>
      <c r="B885" s="259" t="s">
        <v>822</v>
      </c>
      <c r="C885" s="34" t="s">
        <v>811</v>
      </c>
      <c r="D885" s="160" t="s">
        <v>826</v>
      </c>
      <c r="E885" s="146" t="s">
        <v>12</v>
      </c>
      <c r="F885" s="58" t="s">
        <v>832</v>
      </c>
      <c r="G885" s="58">
        <v>1000</v>
      </c>
      <c r="H885" s="58">
        <v>0</v>
      </c>
      <c r="I885" s="58">
        <v>0</v>
      </c>
      <c r="J885" s="58">
        <v>0</v>
      </c>
      <c r="K885" s="10"/>
    </row>
    <row r="886" spans="1:11" ht="51" x14ac:dyDescent="0.2">
      <c r="A886" s="219"/>
      <c r="B886" s="217"/>
      <c r="C886" s="35" t="s">
        <v>810</v>
      </c>
      <c r="D886" s="139" t="s">
        <v>302</v>
      </c>
      <c r="E886" s="146" t="s">
        <v>303</v>
      </c>
      <c r="F886" s="58">
        <v>0</v>
      </c>
      <c r="G886" s="58">
        <v>2526.73</v>
      </c>
      <c r="H886" s="58">
        <v>0</v>
      </c>
      <c r="I886" s="58">
        <v>0</v>
      </c>
      <c r="J886" s="58">
        <v>0</v>
      </c>
      <c r="K886" s="10"/>
    </row>
    <row r="887" spans="1:11" ht="25.5" x14ac:dyDescent="0.2">
      <c r="A887" s="218" t="s">
        <v>1686</v>
      </c>
      <c r="B887" s="259" t="s">
        <v>822</v>
      </c>
      <c r="C887" s="34" t="s">
        <v>812</v>
      </c>
      <c r="D887" s="160" t="s">
        <v>827</v>
      </c>
      <c r="E887" s="146" t="s">
        <v>12</v>
      </c>
      <c r="F887" s="58">
        <v>0</v>
      </c>
      <c r="G887" s="58">
        <v>24</v>
      </c>
      <c r="H887" s="58">
        <v>48</v>
      </c>
      <c r="I887" s="58">
        <v>48</v>
      </c>
      <c r="J887" s="58">
        <v>48</v>
      </c>
      <c r="K887" s="10"/>
    </row>
    <row r="888" spans="1:11" ht="79.5" customHeight="1" x14ac:dyDescent="0.2">
      <c r="A888" s="219"/>
      <c r="B888" s="217"/>
      <c r="C888" s="35" t="s">
        <v>810</v>
      </c>
      <c r="D888" s="139" t="s">
        <v>302</v>
      </c>
      <c r="E888" s="146" t="s">
        <v>303</v>
      </c>
      <c r="F888" s="58">
        <v>0</v>
      </c>
      <c r="G888" s="58">
        <v>1535.03</v>
      </c>
      <c r="H888" s="58">
        <v>3834.29</v>
      </c>
      <c r="I888" s="58">
        <v>3834.29</v>
      </c>
      <c r="J888" s="58">
        <v>3834.29</v>
      </c>
      <c r="K888" s="10"/>
    </row>
    <row r="889" spans="1:11" ht="51" x14ac:dyDescent="0.2">
      <c r="A889" s="218" t="s">
        <v>1687</v>
      </c>
      <c r="B889" s="259" t="s">
        <v>822</v>
      </c>
      <c r="C889" s="34" t="s">
        <v>813</v>
      </c>
      <c r="D889" s="160" t="s">
        <v>828</v>
      </c>
      <c r="E889" s="146" t="s">
        <v>12</v>
      </c>
      <c r="F889" s="58">
        <v>2209735</v>
      </c>
      <c r="G889" s="58">
        <v>200000</v>
      </c>
      <c r="H889" s="58">
        <v>0</v>
      </c>
      <c r="I889" s="58">
        <v>800000</v>
      </c>
      <c r="J889" s="58">
        <v>1000000</v>
      </c>
      <c r="K889" s="10"/>
    </row>
    <row r="890" spans="1:11" ht="46.5" customHeight="1" x14ac:dyDescent="0.2">
      <c r="A890" s="219"/>
      <c r="B890" s="217"/>
      <c r="C890" s="35" t="s">
        <v>810</v>
      </c>
      <c r="D890" s="139" t="s">
        <v>302</v>
      </c>
      <c r="E890" s="146" t="s">
        <v>303</v>
      </c>
      <c r="F890" s="58">
        <v>32836.9</v>
      </c>
      <c r="G890" s="58">
        <v>7437.6</v>
      </c>
      <c r="H890" s="58">
        <v>0</v>
      </c>
      <c r="I890" s="58">
        <v>16096</v>
      </c>
      <c r="J890" s="58">
        <v>20120</v>
      </c>
      <c r="K890" s="10"/>
    </row>
    <row r="891" spans="1:11" ht="15.75" x14ac:dyDescent="0.2">
      <c r="A891" s="218" t="s">
        <v>1688</v>
      </c>
      <c r="B891" s="259" t="s">
        <v>822</v>
      </c>
      <c r="C891" s="34" t="s">
        <v>814</v>
      </c>
      <c r="D891" s="160" t="s">
        <v>829</v>
      </c>
      <c r="E891" s="146" t="s">
        <v>12</v>
      </c>
      <c r="F891" s="58">
        <v>100000</v>
      </c>
      <c r="G891" s="58">
        <v>100000</v>
      </c>
      <c r="H891" s="58">
        <v>50000</v>
      </c>
      <c r="I891" s="58">
        <v>50000</v>
      </c>
      <c r="J891" s="58">
        <v>50000</v>
      </c>
      <c r="K891" s="10"/>
    </row>
    <row r="892" spans="1:11" ht="81.75" customHeight="1" x14ac:dyDescent="0.2">
      <c r="A892" s="219"/>
      <c r="B892" s="217"/>
      <c r="C892" s="35" t="s">
        <v>810</v>
      </c>
      <c r="D892" s="139" t="s">
        <v>302</v>
      </c>
      <c r="E892" s="146" t="s">
        <v>303</v>
      </c>
      <c r="F892" s="58">
        <v>5097.6000000000004</v>
      </c>
      <c r="G892" s="58">
        <v>5042</v>
      </c>
      <c r="H892" s="58">
        <v>2436.5</v>
      </c>
      <c r="I892" s="58">
        <v>2436.5</v>
      </c>
      <c r="J892" s="58">
        <v>2436.5</v>
      </c>
      <c r="K892" s="10"/>
    </row>
    <row r="893" spans="1:11" ht="51" x14ac:dyDescent="0.2">
      <c r="A893" s="218" t="s">
        <v>1689</v>
      </c>
      <c r="B893" s="259" t="s">
        <v>822</v>
      </c>
      <c r="C893" s="34" t="s">
        <v>815</v>
      </c>
      <c r="D893" s="160" t="s">
        <v>828</v>
      </c>
      <c r="E893" s="146" t="s">
        <v>12</v>
      </c>
      <c r="F893" s="58">
        <v>0</v>
      </c>
      <c r="G893" s="58">
        <v>50000</v>
      </c>
      <c r="H893" s="58">
        <v>60000</v>
      </c>
      <c r="I893" s="58">
        <v>50000</v>
      </c>
      <c r="J893" s="58">
        <v>40000</v>
      </c>
      <c r="K893" s="10"/>
    </row>
    <row r="894" spans="1:11" ht="63" customHeight="1" x14ac:dyDescent="0.2">
      <c r="A894" s="219"/>
      <c r="B894" s="217"/>
      <c r="C894" s="35" t="s">
        <v>810</v>
      </c>
      <c r="D894" s="139" t="s">
        <v>302</v>
      </c>
      <c r="E894" s="146" t="s">
        <v>303</v>
      </c>
      <c r="F894" s="58">
        <v>0</v>
      </c>
      <c r="G894" s="58">
        <v>20826</v>
      </c>
      <c r="H894" s="58">
        <v>19891.2</v>
      </c>
      <c r="I894" s="58">
        <v>16576</v>
      </c>
      <c r="J894" s="58">
        <v>13260.8</v>
      </c>
      <c r="K894" s="10"/>
    </row>
    <row r="895" spans="1:11" ht="38.25" x14ac:dyDescent="0.2">
      <c r="A895" s="218" t="s">
        <v>1690</v>
      </c>
      <c r="B895" s="259" t="s">
        <v>822</v>
      </c>
      <c r="C895" s="34" t="s">
        <v>816</v>
      </c>
      <c r="D895" s="160" t="s">
        <v>830</v>
      </c>
      <c r="E895" s="146" t="s">
        <v>823</v>
      </c>
      <c r="F895" s="58">
        <v>3330</v>
      </c>
      <c r="G895" s="58">
        <v>6260</v>
      </c>
      <c r="H895" s="58">
        <v>6510.777</v>
      </c>
      <c r="I895" s="58">
        <v>3692.6120000000001</v>
      </c>
      <c r="J895" s="58">
        <v>3536.3229999999999</v>
      </c>
      <c r="K895" s="10"/>
    </row>
    <row r="896" spans="1:11" ht="66.75" customHeight="1" x14ac:dyDescent="0.2">
      <c r="A896" s="219"/>
      <c r="B896" s="217"/>
      <c r="C896" s="35" t="s">
        <v>810</v>
      </c>
      <c r="D896" s="139" t="s">
        <v>302</v>
      </c>
      <c r="E896" s="146" t="s">
        <v>303</v>
      </c>
      <c r="F896" s="58">
        <v>16506.400000000001</v>
      </c>
      <c r="G896" s="58">
        <v>28773.72</v>
      </c>
      <c r="H896" s="58">
        <v>29527.35</v>
      </c>
      <c r="I896" s="58">
        <v>16746.55</v>
      </c>
      <c r="J896" s="58">
        <v>16037.76</v>
      </c>
      <c r="K896" s="10"/>
    </row>
    <row r="897" spans="1:11" ht="25.5" x14ac:dyDescent="0.2">
      <c r="A897" s="218" t="s">
        <v>1691</v>
      </c>
      <c r="B897" s="259" t="s">
        <v>822</v>
      </c>
      <c r="C897" s="36" t="s">
        <v>817</v>
      </c>
      <c r="D897" s="161" t="s">
        <v>827</v>
      </c>
      <c r="E897" s="24" t="s">
        <v>12</v>
      </c>
      <c r="F897" s="58">
        <v>4</v>
      </c>
      <c r="G897" s="58">
        <v>4</v>
      </c>
      <c r="H897" s="58">
        <v>0</v>
      </c>
      <c r="I897" s="58">
        <v>0</v>
      </c>
      <c r="J897" s="58">
        <v>0</v>
      </c>
      <c r="K897" s="10"/>
    </row>
    <row r="898" spans="1:11" ht="83.25" customHeight="1" x14ac:dyDescent="0.2">
      <c r="A898" s="219"/>
      <c r="B898" s="217"/>
      <c r="C898" s="37" t="s">
        <v>810</v>
      </c>
      <c r="D898" s="144" t="s">
        <v>302</v>
      </c>
      <c r="E898" s="146" t="s">
        <v>303</v>
      </c>
      <c r="F898" s="58">
        <v>562.4</v>
      </c>
      <c r="G898" s="58">
        <v>427.5</v>
      </c>
      <c r="H898" s="58">
        <v>0</v>
      </c>
      <c r="I898" s="58">
        <v>0</v>
      </c>
      <c r="J898" s="58">
        <v>0</v>
      </c>
      <c r="K898" s="10"/>
    </row>
    <row r="899" spans="1:11" ht="15.75" x14ac:dyDescent="0.2">
      <c r="A899" s="218" t="s">
        <v>1692</v>
      </c>
      <c r="B899" s="216" t="s">
        <v>822</v>
      </c>
      <c r="C899" s="34" t="s">
        <v>818</v>
      </c>
      <c r="D899" s="160" t="s">
        <v>831</v>
      </c>
      <c r="E899" s="146" t="s">
        <v>757</v>
      </c>
      <c r="F899" s="58">
        <v>88</v>
      </c>
      <c r="G899" s="58">
        <v>76</v>
      </c>
      <c r="H899" s="58">
        <v>90</v>
      </c>
      <c r="I899" s="58">
        <v>78</v>
      </c>
      <c r="J899" s="58">
        <v>74</v>
      </c>
      <c r="K899" s="10"/>
    </row>
    <row r="900" spans="1:11" ht="51" x14ac:dyDescent="0.2">
      <c r="A900" s="219"/>
      <c r="B900" s="217"/>
      <c r="C900" s="38" t="s">
        <v>819</v>
      </c>
      <c r="D900" s="139" t="s">
        <v>302</v>
      </c>
      <c r="E900" s="146" t="s">
        <v>303</v>
      </c>
      <c r="F900" s="58">
        <v>51891.62</v>
      </c>
      <c r="G900" s="58">
        <v>64752.17</v>
      </c>
      <c r="H900" s="58">
        <v>65795.67</v>
      </c>
      <c r="I900" s="58">
        <v>90180.74</v>
      </c>
      <c r="J900" s="58">
        <v>83878.42</v>
      </c>
      <c r="K900" s="10"/>
    </row>
    <row r="901" spans="1:11" ht="15.75" x14ac:dyDescent="0.2">
      <c r="A901" s="218" t="s">
        <v>1693</v>
      </c>
      <c r="B901" s="216" t="s">
        <v>822</v>
      </c>
      <c r="C901" s="34" t="s">
        <v>820</v>
      </c>
      <c r="D901" s="160" t="s">
        <v>831</v>
      </c>
      <c r="E901" s="146" t="s">
        <v>757</v>
      </c>
      <c r="F901" s="58">
        <v>109</v>
      </c>
      <c r="G901" s="58">
        <v>100</v>
      </c>
      <c r="H901" s="58">
        <v>85</v>
      </c>
      <c r="I901" s="58">
        <v>91</v>
      </c>
      <c r="J901" s="58">
        <v>100</v>
      </c>
      <c r="K901" s="10"/>
    </row>
    <row r="902" spans="1:11" ht="51" x14ac:dyDescent="0.2">
      <c r="A902" s="219"/>
      <c r="B902" s="217"/>
      <c r="C902" s="38" t="s">
        <v>819</v>
      </c>
      <c r="D902" s="139" t="s">
        <v>302</v>
      </c>
      <c r="E902" s="146" t="s">
        <v>303</v>
      </c>
      <c r="F902" s="58">
        <v>178128.1</v>
      </c>
      <c r="G902" s="58">
        <v>182267.61</v>
      </c>
      <c r="H902" s="58">
        <v>155582.57</v>
      </c>
      <c r="I902" s="58">
        <v>193604.25</v>
      </c>
      <c r="J902" s="58">
        <v>202189.23</v>
      </c>
      <c r="K902" s="10"/>
    </row>
    <row r="903" spans="1:11" ht="15.75" x14ac:dyDescent="0.2">
      <c r="A903" s="218" t="s">
        <v>1694</v>
      </c>
      <c r="B903" s="216" t="s">
        <v>822</v>
      </c>
      <c r="C903" s="34" t="s">
        <v>821</v>
      </c>
      <c r="D903" s="160" t="s">
        <v>831</v>
      </c>
      <c r="E903" s="146" t="s">
        <v>757</v>
      </c>
      <c r="F903" s="58">
        <v>144</v>
      </c>
      <c r="G903" s="58">
        <v>117</v>
      </c>
      <c r="H903" s="58">
        <v>157</v>
      </c>
      <c r="I903" s="58">
        <v>157</v>
      </c>
      <c r="J903" s="58">
        <v>73</v>
      </c>
      <c r="K903" s="10"/>
    </row>
    <row r="904" spans="1:11" ht="84" customHeight="1" x14ac:dyDescent="0.2">
      <c r="A904" s="219"/>
      <c r="B904" s="217"/>
      <c r="C904" s="38" t="s">
        <v>819</v>
      </c>
      <c r="D904" s="139" t="s">
        <v>302</v>
      </c>
      <c r="E904" s="146" t="s">
        <v>303</v>
      </c>
      <c r="F904" s="58">
        <v>86890.01</v>
      </c>
      <c r="G904" s="58">
        <v>89827.47</v>
      </c>
      <c r="H904" s="58">
        <v>89216.13</v>
      </c>
      <c r="I904" s="58">
        <v>118373.43</v>
      </c>
      <c r="J904" s="58">
        <v>113661.85</v>
      </c>
      <c r="K904" s="10"/>
    </row>
    <row r="905" spans="1:11" s="102" customFormat="1" ht="26.25" customHeight="1" x14ac:dyDescent="0.25">
      <c r="A905" s="301" t="s">
        <v>824</v>
      </c>
      <c r="B905" s="302"/>
      <c r="C905" s="302"/>
      <c r="D905" s="303"/>
      <c r="E905" s="121" t="s">
        <v>303</v>
      </c>
      <c r="F905" s="100">
        <f>F882+F884+F886+F888+F890+F892+F894+F896+F898+F900+F902+F904</f>
        <v>371913.03</v>
      </c>
      <c r="G905" s="100">
        <f t="shared" ref="G905:J905" si="22">G882+G884+G886+G888+G890+G892+G894+G896+G898+G900+G902+G904</f>
        <v>404963.58999999997</v>
      </c>
      <c r="H905" s="100">
        <f t="shared" si="22"/>
        <v>366760.41000000003</v>
      </c>
      <c r="I905" s="100">
        <f t="shared" si="22"/>
        <v>458324.46</v>
      </c>
      <c r="J905" s="100">
        <f t="shared" si="22"/>
        <v>455895.55000000005</v>
      </c>
      <c r="K905" s="101"/>
    </row>
    <row r="906" spans="1:11" s="92" customFormat="1" ht="30" customHeight="1" x14ac:dyDescent="0.25">
      <c r="A906" s="174" t="s">
        <v>1385</v>
      </c>
      <c r="B906" s="213" t="s">
        <v>833</v>
      </c>
      <c r="C906" s="214"/>
      <c r="D906" s="214"/>
      <c r="E906" s="214"/>
      <c r="F906" s="214"/>
      <c r="G906" s="214"/>
      <c r="H906" s="214"/>
      <c r="I906" s="214"/>
      <c r="J906" s="215"/>
      <c r="K906" s="91"/>
    </row>
    <row r="907" spans="1:11" ht="54.75" customHeight="1" x14ac:dyDescent="0.2">
      <c r="A907" s="267" t="s">
        <v>1386</v>
      </c>
      <c r="B907" s="258" t="s">
        <v>481</v>
      </c>
      <c r="C907" s="25" t="s">
        <v>840</v>
      </c>
      <c r="D907" s="133" t="s">
        <v>20</v>
      </c>
      <c r="E907" s="23" t="s">
        <v>834</v>
      </c>
      <c r="F907" s="154"/>
      <c r="G907" s="58">
        <v>12000</v>
      </c>
      <c r="H907" s="58">
        <v>12000</v>
      </c>
      <c r="I907" s="58">
        <v>12000</v>
      </c>
      <c r="J907" s="58">
        <v>12000</v>
      </c>
      <c r="K907" s="10"/>
    </row>
    <row r="908" spans="1:11" ht="84" customHeight="1" x14ac:dyDescent="0.2">
      <c r="A908" s="267"/>
      <c r="B908" s="258"/>
      <c r="C908" s="148" t="s">
        <v>835</v>
      </c>
      <c r="D908" s="133" t="s">
        <v>302</v>
      </c>
      <c r="E908" s="25" t="s">
        <v>303</v>
      </c>
      <c r="F908" s="154"/>
      <c r="G908" s="58">
        <v>4398</v>
      </c>
      <c r="H908" s="58">
        <v>3185</v>
      </c>
      <c r="I908" s="58">
        <v>3496</v>
      </c>
      <c r="J908" s="58">
        <v>3914</v>
      </c>
      <c r="K908" s="10"/>
    </row>
    <row r="909" spans="1:11" ht="68.25" customHeight="1" x14ac:dyDescent="0.2">
      <c r="A909" s="267" t="s">
        <v>1695</v>
      </c>
      <c r="B909" s="258" t="s">
        <v>836</v>
      </c>
      <c r="C909" s="25" t="s">
        <v>839</v>
      </c>
      <c r="D909" s="133" t="s">
        <v>838</v>
      </c>
      <c r="E909" s="23" t="s">
        <v>834</v>
      </c>
      <c r="F909" s="154"/>
      <c r="G909" s="58">
        <v>20745</v>
      </c>
      <c r="H909" s="58">
        <v>20745</v>
      </c>
      <c r="I909" s="58">
        <v>20745</v>
      </c>
      <c r="J909" s="58">
        <v>20745</v>
      </c>
      <c r="K909" s="10"/>
    </row>
    <row r="910" spans="1:11" ht="87" customHeight="1" x14ac:dyDescent="0.2">
      <c r="A910" s="267"/>
      <c r="B910" s="258"/>
      <c r="C910" s="148" t="s">
        <v>835</v>
      </c>
      <c r="D910" s="133" t="s">
        <v>302</v>
      </c>
      <c r="E910" s="25" t="s">
        <v>303</v>
      </c>
      <c r="F910" s="154"/>
      <c r="G910" s="58">
        <v>7603</v>
      </c>
      <c r="H910" s="58">
        <v>5508</v>
      </c>
      <c r="I910" s="58">
        <v>6045.5</v>
      </c>
      <c r="J910" s="58">
        <v>6769</v>
      </c>
      <c r="K910" s="10"/>
    </row>
    <row r="911" spans="1:11" s="89" customFormat="1" ht="15.75" x14ac:dyDescent="0.25">
      <c r="A911" s="171"/>
      <c r="B911" s="266" t="s">
        <v>837</v>
      </c>
      <c r="C911" s="266"/>
      <c r="D911" s="266"/>
      <c r="E911" s="266"/>
      <c r="F911" s="100">
        <f>F908+F910</f>
        <v>0</v>
      </c>
      <c r="G911" s="100">
        <f>G908+G910</f>
        <v>12001</v>
      </c>
      <c r="H911" s="100">
        <f t="shared" ref="H911:J911" si="23">H908+H910</f>
        <v>8693</v>
      </c>
      <c r="I911" s="100">
        <f t="shared" si="23"/>
        <v>9541.5</v>
      </c>
      <c r="J911" s="100">
        <f t="shared" si="23"/>
        <v>10683</v>
      </c>
      <c r="K911" s="88"/>
    </row>
    <row r="912" spans="1:11" s="86" customFormat="1" ht="26.25" customHeight="1" x14ac:dyDescent="0.2">
      <c r="A912" s="175" t="s">
        <v>1387</v>
      </c>
      <c r="B912" s="257" t="s">
        <v>841</v>
      </c>
      <c r="C912" s="257"/>
      <c r="D912" s="257"/>
      <c r="E912" s="257"/>
      <c r="F912" s="257"/>
      <c r="G912" s="257"/>
      <c r="H912" s="257"/>
      <c r="I912" s="257"/>
      <c r="J912" s="257"/>
      <c r="K912" s="85"/>
    </row>
    <row r="913" spans="1:11" x14ac:dyDescent="0.2">
      <c r="A913" s="268" t="s">
        <v>1388</v>
      </c>
      <c r="B913" s="258" t="s">
        <v>842</v>
      </c>
      <c r="C913" s="135" t="s">
        <v>843</v>
      </c>
      <c r="D913" s="135" t="s">
        <v>844</v>
      </c>
      <c r="E913" s="135" t="s">
        <v>770</v>
      </c>
      <c r="F913" s="63">
        <v>12</v>
      </c>
      <c r="G913" s="63">
        <v>12</v>
      </c>
      <c r="H913" s="63">
        <v>12</v>
      </c>
      <c r="I913" s="63">
        <v>12</v>
      </c>
      <c r="J913" s="63">
        <v>12</v>
      </c>
      <c r="K913" s="10"/>
    </row>
    <row r="914" spans="1:11" ht="51" x14ac:dyDescent="0.2">
      <c r="A914" s="268"/>
      <c r="B914" s="258"/>
      <c r="C914" s="135" t="s">
        <v>845</v>
      </c>
      <c r="D914" s="149" t="s">
        <v>302</v>
      </c>
      <c r="E914" s="133" t="s">
        <v>303</v>
      </c>
      <c r="F914" s="63">
        <v>1469.6</v>
      </c>
      <c r="G914" s="61">
        <v>1496.3</v>
      </c>
      <c r="H914" s="63">
        <v>1496.3</v>
      </c>
      <c r="I914" s="63">
        <v>0</v>
      </c>
      <c r="J914" s="63">
        <v>0</v>
      </c>
      <c r="K914" s="10"/>
    </row>
    <row r="915" spans="1:11" x14ac:dyDescent="0.2">
      <c r="A915" s="268" t="s">
        <v>1696</v>
      </c>
      <c r="B915" s="258" t="s">
        <v>846</v>
      </c>
      <c r="C915" s="135" t="s">
        <v>847</v>
      </c>
      <c r="D915" s="135" t="s">
        <v>844</v>
      </c>
      <c r="E915" s="135" t="s">
        <v>770</v>
      </c>
      <c r="F915" s="49">
        <v>26</v>
      </c>
      <c r="G915" s="49">
        <v>28</v>
      </c>
      <c r="H915" s="49">
        <v>26</v>
      </c>
      <c r="I915" s="49">
        <v>26</v>
      </c>
      <c r="J915" s="49">
        <v>26</v>
      </c>
      <c r="K915" s="10"/>
    </row>
    <row r="916" spans="1:11" ht="51" x14ac:dyDescent="0.2">
      <c r="A916" s="268"/>
      <c r="B916" s="258"/>
      <c r="C916" s="137" t="s">
        <v>848</v>
      </c>
      <c r="D916" s="149" t="s">
        <v>302</v>
      </c>
      <c r="E916" s="133" t="s">
        <v>303</v>
      </c>
      <c r="F916" s="49">
        <v>14718.352999999999</v>
      </c>
      <c r="G916" s="49">
        <v>19492.755000000001</v>
      </c>
      <c r="H916" s="49">
        <v>17737.75</v>
      </c>
      <c r="I916" s="49">
        <v>18567.580000000002</v>
      </c>
      <c r="J916" s="49">
        <v>18165.32</v>
      </c>
      <c r="K916" s="10"/>
    </row>
    <row r="917" spans="1:11" x14ac:dyDescent="0.2">
      <c r="A917" s="268"/>
      <c r="B917" s="258"/>
      <c r="C917" s="135" t="s">
        <v>847</v>
      </c>
      <c r="D917" s="135" t="s">
        <v>844</v>
      </c>
      <c r="E917" s="135" t="s">
        <v>770</v>
      </c>
      <c r="F917" s="49">
        <v>33</v>
      </c>
      <c r="G917" s="49">
        <v>33</v>
      </c>
      <c r="H917" s="49">
        <v>33</v>
      </c>
      <c r="I917" s="49">
        <v>33</v>
      </c>
      <c r="J917" s="49">
        <v>33</v>
      </c>
      <c r="K917" s="10"/>
    </row>
    <row r="918" spans="1:11" ht="51" x14ac:dyDescent="0.2">
      <c r="A918" s="268"/>
      <c r="B918" s="258"/>
      <c r="C918" s="135" t="s">
        <v>845</v>
      </c>
      <c r="D918" s="149" t="s">
        <v>302</v>
      </c>
      <c r="E918" s="133" t="s">
        <v>303</v>
      </c>
      <c r="F918" s="49">
        <v>4041.4</v>
      </c>
      <c r="G918" s="75">
        <v>4114.7</v>
      </c>
      <c r="H918" s="49">
        <v>4114.7</v>
      </c>
      <c r="I918" s="49">
        <v>0</v>
      </c>
      <c r="J918" s="49">
        <v>0</v>
      </c>
      <c r="K918" s="10"/>
    </row>
    <row r="919" spans="1:11" x14ac:dyDescent="0.2">
      <c r="A919" s="268" t="s">
        <v>1697</v>
      </c>
      <c r="B919" s="269" t="s">
        <v>849</v>
      </c>
      <c r="C919" s="135" t="s">
        <v>850</v>
      </c>
      <c r="D919" s="135" t="s">
        <v>851</v>
      </c>
      <c r="E919" s="135" t="s">
        <v>757</v>
      </c>
      <c r="F919" s="49">
        <v>33</v>
      </c>
      <c r="G919" s="49">
        <v>30</v>
      </c>
      <c r="H919" s="49">
        <v>31</v>
      </c>
      <c r="I919" s="49">
        <v>31</v>
      </c>
      <c r="J919" s="49">
        <v>31</v>
      </c>
      <c r="K919" s="10"/>
    </row>
    <row r="920" spans="1:11" ht="51" x14ac:dyDescent="0.2">
      <c r="A920" s="268"/>
      <c r="B920" s="270"/>
      <c r="C920" s="141" t="s">
        <v>852</v>
      </c>
      <c r="D920" s="149" t="s">
        <v>302</v>
      </c>
      <c r="E920" s="133" t="s">
        <v>303</v>
      </c>
      <c r="F920" s="49">
        <v>3829.53</v>
      </c>
      <c r="G920" s="49">
        <f>3210.75+168.987</f>
        <v>3379.7370000000001</v>
      </c>
      <c r="H920" s="49">
        <f>3015.95+158.73421</f>
        <v>3174.6842099999999</v>
      </c>
      <c r="I920" s="49">
        <v>0</v>
      </c>
      <c r="J920" s="49">
        <v>0</v>
      </c>
      <c r="K920" s="10"/>
    </row>
    <row r="921" spans="1:11" x14ac:dyDescent="0.2">
      <c r="A921" s="268" t="s">
        <v>1698</v>
      </c>
      <c r="B921" s="269" t="s">
        <v>853</v>
      </c>
      <c r="C921" s="135" t="s">
        <v>850</v>
      </c>
      <c r="D921" s="135" t="s">
        <v>854</v>
      </c>
      <c r="E921" s="135" t="s">
        <v>757</v>
      </c>
      <c r="F921" s="49">
        <v>11</v>
      </c>
      <c r="G921" s="49">
        <v>14</v>
      </c>
      <c r="H921" s="49">
        <v>13</v>
      </c>
      <c r="I921" s="49">
        <v>13</v>
      </c>
      <c r="J921" s="49">
        <v>13</v>
      </c>
      <c r="K921" s="10"/>
    </row>
    <row r="922" spans="1:11" ht="51" x14ac:dyDescent="0.2">
      <c r="A922" s="268"/>
      <c r="B922" s="271"/>
      <c r="C922" s="137" t="s">
        <v>855</v>
      </c>
      <c r="D922" s="149" t="s">
        <v>302</v>
      </c>
      <c r="E922" s="133" t="s">
        <v>303</v>
      </c>
      <c r="F922" s="49">
        <v>25917.98</v>
      </c>
      <c r="G922" s="49">
        <v>28417.200000000001</v>
      </c>
      <c r="H922" s="49">
        <v>26349.75</v>
      </c>
      <c r="I922" s="49">
        <v>27164.639999999999</v>
      </c>
      <c r="J922" s="49">
        <v>27566.9</v>
      </c>
      <c r="K922" s="10"/>
    </row>
    <row r="923" spans="1:11" s="89" customFormat="1" ht="21" customHeight="1" x14ac:dyDescent="0.2">
      <c r="A923" s="176"/>
      <c r="B923" s="260" t="s">
        <v>856</v>
      </c>
      <c r="C923" s="260"/>
      <c r="D923" s="260"/>
      <c r="E923" s="123" t="s">
        <v>31</v>
      </c>
      <c r="F923" s="90">
        <f>F914+F916+F918+F920+F922</f>
        <v>49976.862999999998</v>
      </c>
      <c r="G923" s="90">
        <f t="shared" ref="G923:I923" si="24">G914+G916+G918+G920+G922</f>
        <v>56900.692000000003</v>
      </c>
      <c r="H923" s="90">
        <f t="shared" si="24"/>
        <v>52873.184209999999</v>
      </c>
      <c r="I923" s="90">
        <f t="shared" si="24"/>
        <v>45732.22</v>
      </c>
      <c r="J923" s="90">
        <f>J914+J916+J918+J920+J922</f>
        <v>45732.22</v>
      </c>
      <c r="K923" s="88"/>
    </row>
    <row r="924" spans="1:11" ht="45" customHeight="1" x14ac:dyDescent="0.2">
      <c r="A924" s="170" t="s">
        <v>1389</v>
      </c>
      <c r="B924" s="272" t="s">
        <v>2030</v>
      </c>
      <c r="C924" s="273"/>
      <c r="D924" s="273"/>
      <c r="E924" s="273"/>
      <c r="F924" s="273"/>
      <c r="G924" s="273"/>
      <c r="H924" s="273"/>
      <c r="I924" s="273"/>
      <c r="J924" s="274"/>
    </row>
    <row r="925" spans="1:11" ht="25.5" customHeight="1" x14ac:dyDescent="0.2">
      <c r="A925" s="275" t="s">
        <v>1390</v>
      </c>
      <c r="B925" s="241" t="s">
        <v>2031</v>
      </c>
      <c r="C925" s="135" t="s">
        <v>2032</v>
      </c>
      <c r="D925" s="135" t="s">
        <v>420</v>
      </c>
      <c r="E925" s="135" t="s">
        <v>896</v>
      </c>
      <c r="F925" s="49">
        <v>190</v>
      </c>
      <c r="G925" s="49">
        <v>208</v>
      </c>
      <c r="H925" s="49">
        <v>208</v>
      </c>
      <c r="I925" s="49">
        <v>208</v>
      </c>
      <c r="J925" s="49">
        <v>208</v>
      </c>
    </row>
    <row r="926" spans="1:11" ht="51" x14ac:dyDescent="0.2">
      <c r="A926" s="276"/>
      <c r="B926" s="244"/>
      <c r="C926" s="135" t="s">
        <v>2033</v>
      </c>
      <c r="D926" s="135" t="s">
        <v>302</v>
      </c>
      <c r="E926" s="135" t="s">
        <v>303</v>
      </c>
      <c r="F926" s="49">
        <v>428.81936999999999</v>
      </c>
      <c r="G926" s="49">
        <v>474.93225999999999</v>
      </c>
      <c r="H926" s="49">
        <v>474.93225999999999</v>
      </c>
      <c r="I926" s="49">
        <v>474.93225999999999</v>
      </c>
      <c r="J926" s="49">
        <v>474.93225999999999</v>
      </c>
    </row>
    <row r="927" spans="1:11" x14ac:dyDescent="0.2">
      <c r="A927" s="276"/>
      <c r="B927" s="244"/>
      <c r="C927" s="135" t="s">
        <v>2034</v>
      </c>
      <c r="D927" s="135" t="s">
        <v>420</v>
      </c>
      <c r="E927" s="135" t="s">
        <v>896</v>
      </c>
      <c r="F927" s="49">
        <v>68</v>
      </c>
      <c r="G927" s="49">
        <v>70</v>
      </c>
      <c r="H927" s="49">
        <v>70</v>
      </c>
      <c r="I927" s="49">
        <v>70</v>
      </c>
      <c r="J927" s="49">
        <v>70</v>
      </c>
    </row>
    <row r="928" spans="1:11" ht="51" x14ac:dyDescent="0.2">
      <c r="A928" s="277"/>
      <c r="B928" s="242"/>
      <c r="C928" s="135" t="s">
        <v>2035</v>
      </c>
      <c r="D928" s="135" t="s">
        <v>302</v>
      </c>
      <c r="E928" s="135" t="s">
        <v>303</v>
      </c>
      <c r="F928" s="49">
        <v>23181.288960000002</v>
      </c>
      <c r="G928" s="49">
        <v>28468.249599999999</v>
      </c>
      <c r="H928" s="49">
        <v>28468.249599999999</v>
      </c>
      <c r="I928" s="49">
        <v>28468.249599999999</v>
      </c>
      <c r="J928" s="49">
        <v>28468.249599999999</v>
      </c>
    </row>
    <row r="929" spans="1:10" ht="25.5" customHeight="1" x14ac:dyDescent="0.2">
      <c r="A929" s="275" t="s">
        <v>2119</v>
      </c>
      <c r="B929" s="241" t="s">
        <v>2036</v>
      </c>
      <c r="C929" s="135" t="s">
        <v>2037</v>
      </c>
      <c r="D929" s="135" t="s">
        <v>420</v>
      </c>
      <c r="E929" s="135" t="s">
        <v>896</v>
      </c>
      <c r="F929" s="49">
        <v>912</v>
      </c>
      <c r="G929" s="49">
        <v>1006</v>
      </c>
      <c r="H929" s="49">
        <v>1006</v>
      </c>
      <c r="I929" s="49">
        <v>1006</v>
      </c>
      <c r="J929" s="49">
        <v>1006</v>
      </c>
    </row>
    <row r="930" spans="1:10" ht="51" x14ac:dyDescent="0.2">
      <c r="A930" s="277"/>
      <c r="B930" s="242"/>
      <c r="C930" s="135" t="s">
        <v>2033</v>
      </c>
      <c r="D930" s="135" t="s">
        <v>302</v>
      </c>
      <c r="E930" s="135" t="s">
        <v>303</v>
      </c>
      <c r="F930" s="49">
        <v>276780.23700000002</v>
      </c>
      <c r="G930" s="49">
        <v>262021.52000000002</v>
      </c>
      <c r="H930" s="49">
        <v>262021.52000000002</v>
      </c>
      <c r="I930" s="49">
        <v>262021.52000000002</v>
      </c>
      <c r="J930" s="49">
        <v>262021.52000000002</v>
      </c>
    </row>
    <row r="931" spans="1:10" ht="25.5" customHeight="1" x14ac:dyDescent="0.2">
      <c r="A931" s="275" t="s">
        <v>2120</v>
      </c>
      <c r="B931" s="241" t="s">
        <v>2038</v>
      </c>
      <c r="C931" s="135" t="s">
        <v>2039</v>
      </c>
      <c r="D931" s="135" t="s">
        <v>420</v>
      </c>
      <c r="E931" s="135" t="s">
        <v>896</v>
      </c>
      <c r="F931" s="49">
        <v>338</v>
      </c>
      <c r="G931" s="49">
        <v>342</v>
      </c>
      <c r="H931" s="49">
        <v>342</v>
      </c>
      <c r="I931" s="49">
        <v>342</v>
      </c>
      <c r="J931" s="49">
        <v>342</v>
      </c>
    </row>
    <row r="932" spans="1:10" ht="51" x14ac:dyDescent="0.2">
      <c r="A932" s="277"/>
      <c r="B932" s="242"/>
      <c r="C932" s="135" t="s">
        <v>2033</v>
      </c>
      <c r="D932" s="135" t="s">
        <v>302</v>
      </c>
      <c r="E932" s="135" t="s">
        <v>303</v>
      </c>
      <c r="F932" s="49">
        <v>162398.91</v>
      </c>
      <c r="G932" s="49">
        <v>164320.79</v>
      </c>
      <c r="H932" s="49">
        <v>164320.79</v>
      </c>
      <c r="I932" s="49">
        <v>164320.79</v>
      </c>
      <c r="J932" s="49">
        <v>164320.79</v>
      </c>
    </row>
    <row r="933" spans="1:10" ht="25.5" customHeight="1" x14ac:dyDescent="0.2">
      <c r="A933" s="275" t="s">
        <v>2121</v>
      </c>
      <c r="B933" s="241" t="s">
        <v>2040</v>
      </c>
      <c r="C933" s="135" t="s">
        <v>2041</v>
      </c>
      <c r="D933" s="135" t="s">
        <v>420</v>
      </c>
      <c r="E933" s="135" t="s">
        <v>896</v>
      </c>
      <c r="F933" s="49">
        <v>1403</v>
      </c>
      <c r="G933" s="49">
        <v>1432</v>
      </c>
      <c r="H933" s="49">
        <v>1432</v>
      </c>
      <c r="I933" s="49">
        <v>1432</v>
      </c>
      <c r="J933" s="49">
        <v>1432</v>
      </c>
    </row>
    <row r="934" spans="1:10" ht="51" x14ac:dyDescent="0.2">
      <c r="A934" s="277"/>
      <c r="B934" s="242"/>
      <c r="C934" s="135" t="s">
        <v>2033</v>
      </c>
      <c r="D934" s="135" t="s">
        <v>302</v>
      </c>
      <c r="E934" s="135" t="s">
        <v>303</v>
      </c>
      <c r="F934" s="49">
        <v>472852.42</v>
      </c>
      <c r="G934" s="49">
        <v>508887.6</v>
      </c>
      <c r="H934" s="49">
        <v>508887.6</v>
      </c>
      <c r="I934" s="49">
        <v>508887.6</v>
      </c>
      <c r="J934" s="49">
        <v>508887.6</v>
      </c>
    </row>
    <row r="935" spans="1:10" ht="25.5" customHeight="1" x14ac:dyDescent="0.2">
      <c r="A935" s="275" t="s">
        <v>2122</v>
      </c>
      <c r="B935" s="241" t="s">
        <v>2042</v>
      </c>
      <c r="C935" s="135" t="s">
        <v>2043</v>
      </c>
      <c r="D935" s="135" t="s">
        <v>420</v>
      </c>
      <c r="E935" s="135" t="s">
        <v>896</v>
      </c>
      <c r="F935" s="49">
        <v>275</v>
      </c>
      <c r="G935" s="49">
        <v>293</v>
      </c>
      <c r="H935" s="49">
        <v>293</v>
      </c>
      <c r="I935" s="49">
        <v>293</v>
      </c>
      <c r="J935" s="49">
        <v>293</v>
      </c>
    </row>
    <row r="936" spans="1:10" ht="51" x14ac:dyDescent="0.2">
      <c r="A936" s="277"/>
      <c r="B936" s="242"/>
      <c r="C936" s="135" t="s">
        <v>2033</v>
      </c>
      <c r="D936" s="135" t="s">
        <v>302</v>
      </c>
      <c r="E936" s="135" t="s">
        <v>303</v>
      </c>
      <c r="F936" s="49">
        <v>105484.99</v>
      </c>
      <c r="G936" s="49">
        <v>104654.93</v>
      </c>
      <c r="H936" s="49">
        <v>104654.93</v>
      </c>
      <c r="I936" s="49">
        <v>104654.93</v>
      </c>
      <c r="J936" s="49">
        <v>104654.93</v>
      </c>
    </row>
    <row r="937" spans="1:10" ht="76.5" customHeight="1" x14ac:dyDescent="0.2">
      <c r="A937" s="275" t="s">
        <v>2123</v>
      </c>
      <c r="B937" s="241" t="s">
        <v>2044</v>
      </c>
      <c r="C937" s="135" t="s">
        <v>2045</v>
      </c>
      <c r="D937" s="135" t="s">
        <v>420</v>
      </c>
      <c r="E937" s="135" t="s">
        <v>896</v>
      </c>
      <c r="F937" s="49">
        <v>123</v>
      </c>
      <c r="G937" s="49">
        <v>120</v>
      </c>
      <c r="H937" s="49">
        <v>120</v>
      </c>
      <c r="I937" s="49">
        <v>120</v>
      </c>
      <c r="J937" s="49">
        <v>120</v>
      </c>
    </row>
    <row r="938" spans="1:10" ht="51" x14ac:dyDescent="0.2">
      <c r="A938" s="277"/>
      <c r="B938" s="242"/>
      <c r="C938" s="135" t="s">
        <v>2033</v>
      </c>
      <c r="D938" s="135" t="s">
        <v>302</v>
      </c>
      <c r="E938" s="135" t="s">
        <v>303</v>
      </c>
      <c r="F938" s="49">
        <v>37474.959999999999</v>
      </c>
      <c r="G938" s="49">
        <v>36711.19</v>
      </c>
      <c r="H938" s="49">
        <v>36711.19</v>
      </c>
      <c r="I938" s="49">
        <v>36711.19</v>
      </c>
      <c r="J938" s="49">
        <v>36711.19</v>
      </c>
    </row>
    <row r="939" spans="1:10" ht="25.5" x14ac:dyDescent="0.2">
      <c r="A939" s="275" t="s">
        <v>2124</v>
      </c>
      <c r="B939" s="241" t="s">
        <v>2046</v>
      </c>
      <c r="C939" s="135" t="s">
        <v>2047</v>
      </c>
      <c r="D939" s="135" t="s">
        <v>20</v>
      </c>
      <c r="E939" s="135" t="s">
        <v>325</v>
      </c>
      <c r="F939" s="49">
        <v>3215921</v>
      </c>
      <c r="G939" s="49">
        <v>3290216</v>
      </c>
      <c r="H939" s="49">
        <v>3290216</v>
      </c>
      <c r="I939" s="49">
        <v>3290216</v>
      </c>
      <c r="J939" s="49">
        <v>3290216</v>
      </c>
    </row>
    <row r="940" spans="1:10" ht="51" x14ac:dyDescent="0.2">
      <c r="A940" s="276"/>
      <c r="B940" s="244"/>
      <c r="C940" s="135" t="s">
        <v>2048</v>
      </c>
      <c r="D940" s="135" t="s">
        <v>302</v>
      </c>
      <c r="E940" s="135" t="s">
        <v>303</v>
      </c>
      <c r="F940" s="49">
        <v>269665.71950000001</v>
      </c>
      <c r="G940" s="49">
        <v>249353.72199999998</v>
      </c>
      <c r="H940" s="49">
        <v>249353.72199999998</v>
      </c>
      <c r="I940" s="49">
        <v>249353.72199999998</v>
      </c>
      <c r="J940" s="49">
        <v>249353.72199999998</v>
      </c>
    </row>
    <row r="941" spans="1:10" ht="25.5" x14ac:dyDescent="0.2">
      <c r="A941" s="276"/>
      <c r="B941" s="244"/>
      <c r="C941" s="135" t="s">
        <v>2047</v>
      </c>
      <c r="D941" s="135" t="s">
        <v>20</v>
      </c>
      <c r="E941" s="135" t="s">
        <v>325</v>
      </c>
      <c r="F941" s="49">
        <v>1311559</v>
      </c>
      <c r="G941" s="49">
        <v>1284310</v>
      </c>
      <c r="H941" s="49">
        <v>1284310</v>
      </c>
      <c r="I941" s="49">
        <v>1284310</v>
      </c>
      <c r="J941" s="49">
        <v>1284310</v>
      </c>
    </row>
    <row r="942" spans="1:10" ht="51" x14ac:dyDescent="0.2">
      <c r="A942" s="276"/>
      <c r="B942" s="244"/>
      <c r="C942" s="135" t="s">
        <v>2049</v>
      </c>
      <c r="D942" s="135" t="s">
        <v>302</v>
      </c>
      <c r="E942" s="135" t="s">
        <v>303</v>
      </c>
      <c r="F942" s="49">
        <v>38189.713429455194</v>
      </c>
      <c r="G942" s="49">
        <v>41750.940399999999</v>
      </c>
      <c r="H942" s="49">
        <v>41750.940399999999</v>
      </c>
      <c r="I942" s="49">
        <v>41750.940399999999</v>
      </c>
      <c r="J942" s="49">
        <v>41750.940399999999</v>
      </c>
    </row>
    <row r="943" spans="1:10" ht="25.5" x14ac:dyDescent="0.2">
      <c r="A943" s="276"/>
      <c r="B943" s="244"/>
      <c r="C943" s="135" t="s">
        <v>2047</v>
      </c>
      <c r="D943" s="135" t="s">
        <v>20</v>
      </c>
      <c r="E943" s="135" t="s">
        <v>325</v>
      </c>
      <c r="F943" s="49">
        <v>118080</v>
      </c>
      <c r="G943" s="49">
        <v>79200</v>
      </c>
      <c r="H943" s="49">
        <v>79200</v>
      </c>
      <c r="I943" s="49">
        <v>79200</v>
      </c>
      <c r="J943" s="49">
        <v>79200</v>
      </c>
    </row>
    <row r="944" spans="1:10" ht="51" x14ac:dyDescent="0.2">
      <c r="A944" s="276"/>
      <c r="B944" s="244"/>
      <c r="C944" s="135" t="s">
        <v>2050</v>
      </c>
      <c r="D944" s="135" t="s">
        <v>302</v>
      </c>
      <c r="E944" s="135" t="s">
        <v>303</v>
      </c>
      <c r="F944" s="49">
        <v>3972.2112000000002</v>
      </c>
      <c r="G944" s="49">
        <v>2664.288</v>
      </c>
      <c r="H944" s="49">
        <v>2664.288</v>
      </c>
      <c r="I944" s="49">
        <v>2664.288</v>
      </c>
      <c r="J944" s="49">
        <v>2664.288</v>
      </c>
    </row>
    <row r="945" spans="1:10" ht="25.5" x14ac:dyDescent="0.2">
      <c r="A945" s="276"/>
      <c r="B945" s="244"/>
      <c r="C945" s="135" t="s">
        <v>2047</v>
      </c>
      <c r="D945" s="135" t="s">
        <v>20</v>
      </c>
      <c r="E945" s="135" t="s">
        <v>325</v>
      </c>
      <c r="F945" s="49">
        <v>11520</v>
      </c>
      <c r="G945" s="49">
        <v>15795</v>
      </c>
      <c r="H945" s="49">
        <v>15795</v>
      </c>
      <c r="I945" s="49">
        <v>15795</v>
      </c>
      <c r="J945" s="49">
        <v>15795</v>
      </c>
    </row>
    <row r="946" spans="1:10" ht="51" x14ac:dyDescent="0.2">
      <c r="A946" s="276"/>
      <c r="B946" s="244"/>
      <c r="C946" s="135" t="s">
        <v>2051</v>
      </c>
      <c r="D946" s="135" t="s">
        <v>302</v>
      </c>
      <c r="E946" s="135" t="s">
        <v>303</v>
      </c>
      <c r="F946" s="49">
        <v>387.53280000000001</v>
      </c>
      <c r="G946" s="49">
        <v>531.34379999999999</v>
      </c>
      <c r="H946" s="49">
        <v>531.34379999999999</v>
      </c>
      <c r="I946" s="49">
        <v>531.34379999999999</v>
      </c>
      <c r="J946" s="49">
        <v>531.34379999999999</v>
      </c>
    </row>
    <row r="947" spans="1:10" ht="25.5" x14ac:dyDescent="0.2">
      <c r="A947" s="276"/>
      <c r="B947" s="244"/>
      <c r="C947" s="135" t="s">
        <v>2047</v>
      </c>
      <c r="D947" s="135" t="s">
        <v>20</v>
      </c>
      <c r="E947" s="135" t="s">
        <v>325</v>
      </c>
      <c r="F947" s="49">
        <v>14869</v>
      </c>
      <c r="G947" s="49">
        <v>15571</v>
      </c>
      <c r="H947" s="49">
        <v>15571</v>
      </c>
      <c r="I947" s="49">
        <v>15571</v>
      </c>
      <c r="J947" s="49">
        <v>15571</v>
      </c>
    </row>
    <row r="948" spans="1:10" ht="51" x14ac:dyDescent="0.2">
      <c r="A948" s="276"/>
      <c r="B948" s="244"/>
      <c r="C948" s="135" t="s">
        <v>2052</v>
      </c>
      <c r="D948" s="135" t="s">
        <v>302</v>
      </c>
      <c r="E948" s="135" t="s">
        <v>303</v>
      </c>
      <c r="F948" s="49">
        <v>11543.893</v>
      </c>
      <c r="G948" s="49">
        <v>6455.5069999999996</v>
      </c>
      <c r="H948" s="49">
        <v>6455.5069999999996</v>
      </c>
      <c r="I948" s="49">
        <v>6455.5069999999996</v>
      </c>
      <c r="J948" s="49">
        <v>6455.5069999999996</v>
      </c>
    </row>
    <row r="949" spans="1:10" ht="25.5" x14ac:dyDescent="0.2">
      <c r="A949" s="276"/>
      <c r="B949" s="244"/>
      <c r="C949" s="135" t="s">
        <v>2047</v>
      </c>
      <c r="D949" s="135" t="s">
        <v>20</v>
      </c>
      <c r="E949" s="135" t="s">
        <v>325</v>
      </c>
      <c r="F949" s="49">
        <v>16000</v>
      </c>
      <c r="G949" s="49">
        <v>4400</v>
      </c>
      <c r="H949" s="49">
        <v>4400</v>
      </c>
      <c r="I949" s="49">
        <v>4400</v>
      </c>
      <c r="J949" s="49">
        <v>4400</v>
      </c>
    </row>
    <row r="950" spans="1:10" ht="51" x14ac:dyDescent="0.2">
      <c r="A950" s="277"/>
      <c r="B950" s="242"/>
      <c r="C950" s="135" t="s">
        <v>2053</v>
      </c>
      <c r="D950" s="135" t="s">
        <v>302</v>
      </c>
      <c r="E950" s="135" t="s">
        <v>303</v>
      </c>
      <c r="F950" s="49">
        <v>538.24</v>
      </c>
      <c r="G950" s="49">
        <v>148.01599999999999</v>
      </c>
      <c r="H950" s="49">
        <v>148.01599999999999</v>
      </c>
      <c r="I950" s="49">
        <v>148.01599999999999</v>
      </c>
      <c r="J950" s="49">
        <v>148.01599999999999</v>
      </c>
    </row>
    <row r="951" spans="1:10" ht="25.5" x14ac:dyDescent="0.2">
      <c r="A951" s="275" t="s">
        <v>2125</v>
      </c>
      <c r="B951" s="241" t="s">
        <v>2054</v>
      </c>
      <c r="C951" s="135" t="s">
        <v>2055</v>
      </c>
      <c r="D951" s="135" t="s">
        <v>2056</v>
      </c>
      <c r="E951" s="135" t="s">
        <v>2057</v>
      </c>
      <c r="F951" s="49">
        <v>80126</v>
      </c>
      <c r="G951" s="49">
        <v>117600</v>
      </c>
      <c r="H951" s="49">
        <v>117600</v>
      </c>
      <c r="I951" s="49">
        <v>117600</v>
      </c>
      <c r="J951" s="49">
        <v>117600</v>
      </c>
    </row>
    <row r="952" spans="1:10" ht="51" x14ac:dyDescent="0.2">
      <c r="A952" s="277"/>
      <c r="B952" s="242"/>
      <c r="C952" s="135" t="s">
        <v>2048</v>
      </c>
      <c r="D952" s="135" t="s">
        <v>302</v>
      </c>
      <c r="E952" s="135" t="s">
        <v>303</v>
      </c>
      <c r="F952" s="49">
        <v>96391.577999999994</v>
      </c>
      <c r="G952" s="49">
        <v>110483.09</v>
      </c>
      <c r="H952" s="49">
        <v>110483.09</v>
      </c>
      <c r="I952" s="49">
        <v>110483.09</v>
      </c>
      <c r="J952" s="49">
        <v>110483.09</v>
      </c>
    </row>
    <row r="953" spans="1:10" ht="76.5" customHeight="1" x14ac:dyDescent="0.2">
      <c r="A953" s="275" t="s">
        <v>2126</v>
      </c>
      <c r="B953" s="241" t="s">
        <v>2058</v>
      </c>
      <c r="C953" s="135" t="s">
        <v>2059</v>
      </c>
      <c r="D953" s="135" t="s">
        <v>316</v>
      </c>
      <c r="E953" s="135" t="s">
        <v>2060</v>
      </c>
      <c r="F953" s="49">
        <v>76</v>
      </c>
      <c r="G953" s="49">
        <v>77</v>
      </c>
      <c r="H953" s="49">
        <v>77</v>
      </c>
      <c r="I953" s="49">
        <v>77</v>
      </c>
      <c r="J953" s="49">
        <v>77</v>
      </c>
    </row>
    <row r="954" spans="1:10" ht="51" x14ac:dyDescent="0.2">
      <c r="A954" s="276"/>
      <c r="B954" s="244"/>
      <c r="C954" s="135" t="s">
        <v>2048</v>
      </c>
      <c r="D954" s="135" t="s">
        <v>302</v>
      </c>
      <c r="E954" s="135" t="s">
        <v>303</v>
      </c>
      <c r="F954" s="49">
        <v>29334.97</v>
      </c>
      <c r="G954" s="49">
        <v>43437.9</v>
      </c>
      <c r="H954" s="49">
        <v>43437.9</v>
      </c>
      <c r="I954" s="49">
        <v>43437.9</v>
      </c>
      <c r="J954" s="49">
        <v>43437.9</v>
      </c>
    </row>
    <row r="955" spans="1:10" x14ac:dyDescent="0.2">
      <c r="A955" s="276"/>
      <c r="B955" s="244"/>
      <c r="C955" s="135" t="s">
        <v>2061</v>
      </c>
      <c r="D955" s="135" t="s">
        <v>316</v>
      </c>
      <c r="E955" s="135" t="s">
        <v>2060</v>
      </c>
      <c r="F955" s="49">
        <v>38</v>
      </c>
      <c r="G955" s="49">
        <v>38</v>
      </c>
      <c r="H955" s="49">
        <v>38</v>
      </c>
      <c r="I955" s="49">
        <v>38</v>
      </c>
      <c r="J955" s="49">
        <v>38</v>
      </c>
    </row>
    <row r="956" spans="1:10" ht="51" x14ac:dyDescent="0.2">
      <c r="A956" s="277"/>
      <c r="B956" s="242"/>
      <c r="C956" s="135" t="s">
        <v>2062</v>
      </c>
      <c r="D956" s="135" t="s">
        <v>302</v>
      </c>
      <c r="E956" s="135" t="s">
        <v>303</v>
      </c>
      <c r="F956" s="49">
        <v>19310.020000000004</v>
      </c>
      <c r="G956" s="49">
        <v>20071.300000000003</v>
      </c>
      <c r="H956" s="49">
        <v>20071.300000000003</v>
      </c>
      <c r="I956" s="49">
        <v>20071.300000000003</v>
      </c>
      <c r="J956" s="49">
        <v>20071.300000000003</v>
      </c>
    </row>
    <row r="957" spans="1:10" x14ac:dyDescent="0.2">
      <c r="A957" s="275" t="s">
        <v>2127</v>
      </c>
      <c r="B957" s="241" t="s">
        <v>2063</v>
      </c>
      <c r="C957" s="135" t="s">
        <v>2064</v>
      </c>
      <c r="D957" s="135" t="s">
        <v>316</v>
      </c>
      <c r="E957" s="135" t="s">
        <v>2060</v>
      </c>
      <c r="F957" s="49">
        <v>32</v>
      </c>
      <c r="G957" s="49">
        <v>18</v>
      </c>
      <c r="H957" s="49">
        <v>18</v>
      </c>
      <c r="I957" s="49">
        <v>18</v>
      </c>
      <c r="J957" s="49">
        <v>18</v>
      </c>
    </row>
    <row r="958" spans="1:10" ht="51" x14ac:dyDescent="0.2">
      <c r="A958" s="276"/>
      <c r="B958" s="244"/>
      <c r="C958" s="135" t="s">
        <v>2065</v>
      </c>
      <c r="D958" s="135" t="s">
        <v>302</v>
      </c>
      <c r="E958" s="135" t="s">
        <v>303</v>
      </c>
      <c r="F958" s="49">
        <v>4102.93</v>
      </c>
      <c r="G958" s="49">
        <v>2218.4499999999998</v>
      </c>
      <c r="H958" s="49">
        <v>2218.4499999999998</v>
      </c>
      <c r="I958" s="49">
        <v>2218.4499999999998</v>
      </c>
      <c r="J958" s="49">
        <v>2218.4499999999998</v>
      </c>
    </row>
    <row r="959" spans="1:10" x14ac:dyDescent="0.2">
      <c r="A959" s="276"/>
      <c r="B959" s="244"/>
      <c r="C959" s="135" t="s">
        <v>2064</v>
      </c>
      <c r="D959" s="135" t="s">
        <v>316</v>
      </c>
      <c r="E959" s="135" t="s">
        <v>2060</v>
      </c>
      <c r="F959" s="49">
        <v>11</v>
      </c>
      <c r="G959" s="49">
        <v>168</v>
      </c>
      <c r="H959" s="49">
        <v>168</v>
      </c>
      <c r="I959" s="49">
        <v>168</v>
      </c>
      <c r="J959" s="49">
        <v>168</v>
      </c>
    </row>
    <row r="960" spans="1:10" ht="51" x14ac:dyDescent="0.2">
      <c r="A960" s="277"/>
      <c r="B960" s="242"/>
      <c r="C960" s="135" t="s">
        <v>2062</v>
      </c>
      <c r="D960" s="135" t="s">
        <v>302</v>
      </c>
      <c r="E960" s="135" t="s">
        <v>303</v>
      </c>
      <c r="F960" s="49">
        <v>18238.879999999997</v>
      </c>
      <c r="G960" s="49">
        <v>23391.604349999998</v>
      </c>
      <c r="H960" s="49">
        <v>23391.604349999998</v>
      </c>
      <c r="I960" s="49">
        <v>23391.604349999998</v>
      </c>
      <c r="J960" s="49">
        <v>23391.604349999998</v>
      </c>
    </row>
    <row r="961" spans="1:10" ht="38.25" customHeight="1" x14ac:dyDescent="0.2">
      <c r="A961" s="275" t="s">
        <v>2128</v>
      </c>
      <c r="B961" s="241" t="s">
        <v>2066</v>
      </c>
      <c r="C961" s="135" t="s">
        <v>2067</v>
      </c>
      <c r="D961" s="135" t="s">
        <v>420</v>
      </c>
      <c r="E961" s="135" t="s">
        <v>896</v>
      </c>
      <c r="F961" s="49">
        <v>9286</v>
      </c>
      <c r="G961" s="49">
        <v>9174</v>
      </c>
      <c r="H961" s="49">
        <v>9174</v>
      </c>
      <c r="I961" s="49">
        <v>9174</v>
      </c>
      <c r="J961" s="49">
        <v>9174</v>
      </c>
    </row>
    <row r="962" spans="1:10" ht="51" x14ac:dyDescent="0.2">
      <c r="A962" s="276"/>
      <c r="B962" s="244"/>
      <c r="C962" s="135" t="s">
        <v>2049</v>
      </c>
      <c r="D962" s="135" t="s">
        <v>302</v>
      </c>
      <c r="E962" s="135" t="s">
        <v>303</v>
      </c>
      <c r="F962" s="49">
        <v>638320.68526433397</v>
      </c>
      <c r="G962" s="49">
        <v>915321.33250000002</v>
      </c>
      <c r="H962" s="49">
        <v>915321.33250000002</v>
      </c>
      <c r="I962" s="49">
        <v>915321.33250000002</v>
      </c>
      <c r="J962" s="49">
        <v>915321.33250000002</v>
      </c>
    </row>
    <row r="963" spans="1:10" ht="25.5" x14ac:dyDescent="0.2">
      <c r="A963" s="276"/>
      <c r="B963" s="244"/>
      <c r="C963" s="135" t="s">
        <v>2067</v>
      </c>
      <c r="D963" s="135" t="s">
        <v>420</v>
      </c>
      <c r="E963" s="135" t="s">
        <v>896</v>
      </c>
      <c r="F963" s="49">
        <v>462</v>
      </c>
      <c r="G963" s="49">
        <v>505</v>
      </c>
      <c r="H963" s="49">
        <v>505</v>
      </c>
      <c r="I963" s="49">
        <v>505</v>
      </c>
      <c r="J963" s="49">
        <v>505</v>
      </c>
    </row>
    <row r="964" spans="1:10" ht="51" x14ac:dyDescent="0.2">
      <c r="A964" s="277"/>
      <c r="B964" s="242"/>
      <c r="C964" s="135" t="s">
        <v>2068</v>
      </c>
      <c r="D964" s="135" t="s">
        <v>302</v>
      </c>
      <c r="E964" s="135" t="s">
        <v>303</v>
      </c>
      <c r="F964" s="49">
        <v>41222.11</v>
      </c>
      <c r="G964" s="49">
        <v>45296.02</v>
      </c>
      <c r="H964" s="49">
        <v>45296.02</v>
      </c>
      <c r="I964" s="49">
        <v>45296.02</v>
      </c>
      <c r="J964" s="49">
        <v>45296.02</v>
      </c>
    </row>
    <row r="965" spans="1:10" ht="38.25" customHeight="1" x14ac:dyDescent="0.2">
      <c r="A965" s="275" t="s">
        <v>2129</v>
      </c>
      <c r="B965" s="241" t="s">
        <v>2069</v>
      </c>
      <c r="C965" s="135" t="s">
        <v>2070</v>
      </c>
      <c r="D965" s="135" t="s">
        <v>420</v>
      </c>
      <c r="E965" s="135" t="s">
        <v>896</v>
      </c>
      <c r="F965" s="49">
        <v>6448</v>
      </c>
      <c r="G965" s="49">
        <v>6502</v>
      </c>
      <c r="H965" s="49">
        <v>6502</v>
      </c>
      <c r="I965" s="49">
        <v>6502</v>
      </c>
      <c r="J965" s="49">
        <v>6502</v>
      </c>
    </row>
    <row r="966" spans="1:10" ht="51" x14ac:dyDescent="0.2">
      <c r="A966" s="276"/>
      <c r="B966" s="244"/>
      <c r="C966" s="135" t="s">
        <v>2049</v>
      </c>
      <c r="D966" s="135" t="s">
        <v>302</v>
      </c>
      <c r="E966" s="135" t="s">
        <v>303</v>
      </c>
      <c r="F966" s="49">
        <v>904736.42</v>
      </c>
      <c r="G966" s="49">
        <v>569713.70799999998</v>
      </c>
      <c r="H966" s="49">
        <v>569713.70799999998</v>
      </c>
      <c r="I966" s="49">
        <v>569713.70799999998</v>
      </c>
      <c r="J966" s="49">
        <v>569713.70799999998</v>
      </c>
    </row>
    <row r="967" spans="1:10" ht="25.5" x14ac:dyDescent="0.2">
      <c r="A967" s="276"/>
      <c r="B967" s="244"/>
      <c r="C967" s="135" t="s">
        <v>2070</v>
      </c>
      <c r="D967" s="135" t="s">
        <v>420</v>
      </c>
      <c r="E967" s="135" t="s">
        <v>896</v>
      </c>
      <c r="F967" s="49">
        <v>742</v>
      </c>
      <c r="G967" s="49">
        <v>821</v>
      </c>
      <c r="H967" s="49">
        <v>821</v>
      </c>
      <c r="I967" s="49">
        <v>821</v>
      </c>
      <c r="J967" s="49">
        <v>821</v>
      </c>
    </row>
    <row r="968" spans="1:10" ht="51" x14ac:dyDescent="0.2">
      <c r="A968" s="277"/>
      <c r="B968" s="242"/>
      <c r="C968" s="135" t="s">
        <v>2068</v>
      </c>
      <c r="D968" s="135" t="s">
        <v>302</v>
      </c>
      <c r="E968" s="135" t="s">
        <v>303</v>
      </c>
      <c r="F968" s="49">
        <v>67024.31</v>
      </c>
      <c r="G968" s="49">
        <v>61911.490000000005</v>
      </c>
      <c r="H968" s="49">
        <v>61911.490000000005</v>
      </c>
      <c r="I968" s="49">
        <v>61911.490000000005</v>
      </c>
      <c r="J968" s="49">
        <v>61911.490000000005</v>
      </c>
    </row>
    <row r="969" spans="1:10" ht="51" customHeight="1" x14ac:dyDescent="0.2">
      <c r="A969" s="275" t="s">
        <v>2130</v>
      </c>
      <c r="B969" s="241" t="s">
        <v>1248</v>
      </c>
      <c r="C969" s="135" t="s">
        <v>2071</v>
      </c>
      <c r="D969" s="135" t="s">
        <v>20</v>
      </c>
      <c r="E969" s="135" t="s">
        <v>325</v>
      </c>
      <c r="F969" s="49">
        <v>51446</v>
      </c>
      <c r="G969" s="49">
        <v>58410</v>
      </c>
      <c r="H969" s="49">
        <v>58410</v>
      </c>
      <c r="I969" s="49">
        <v>58410</v>
      </c>
      <c r="J969" s="49">
        <v>58410</v>
      </c>
    </row>
    <row r="970" spans="1:10" ht="51" x14ac:dyDescent="0.2">
      <c r="A970" s="277"/>
      <c r="B970" s="242"/>
      <c r="C970" s="135" t="s">
        <v>2049</v>
      </c>
      <c r="D970" s="135" t="s">
        <v>302</v>
      </c>
      <c r="E970" s="135" t="s">
        <v>303</v>
      </c>
      <c r="F970" s="49">
        <v>4366.8467199999996</v>
      </c>
      <c r="G970" s="49">
        <v>6093.3311999999996</v>
      </c>
      <c r="H970" s="49">
        <v>6093.3311999999996</v>
      </c>
      <c r="I970" s="49">
        <v>6093.3311999999996</v>
      </c>
      <c r="J970" s="49">
        <v>6093.3311999999996</v>
      </c>
    </row>
    <row r="971" spans="1:10" ht="25.5" customHeight="1" x14ac:dyDescent="0.2">
      <c r="A971" s="275" t="s">
        <v>2131</v>
      </c>
      <c r="B971" s="241" t="s">
        <v>2072</v>
      </c>
      <c r="C971" s="135" t="s">
        <v>2073</v>
      </c>
      <c r="D971" s="135" t="s">
        <v>420</v>
      </c>
      <c r="E971" s="135" t="s">
        <v>896</v>
      </c>
      <c r="F971" s="49">
        <v>2965</v>
      </c>
      <c r="G971" s="49">
        <v>3031</v>
      </c>
      <c r="H971" s="49">
        <v>3031</v>
      </c>
      <c r="I971" s="49">
        <v>3031</v>
      </c>
      <c r="J971" s="49">
        <v>3031</v>
      </c>
    </row>
    <row r="972" spans="1:10" ht="51" x14ac:dyDescent="0.2">
      <c r="A972" s="277"/>
      <c r="B972" s="242"/>
      <c r="C972" s="135" t="s">
        <v>2074</v>
      </c>
      <c r="D972" s="135" t="s">
        <v>302</v>
      </c>
      <c r="E972" s="135" t="s">
        <v>303</v>
      </c>
      <c r="F972" s="49">
        <v>236577.77</v>
      </c>
      <c r="G972" s="49">
        <v>233556.78</v>
      </c>
      <c r="H972" s="49">
        <v>221404.69</v>
      </c>
      <c r="I972" s="49">
        <v>233556.78</v>
      </c>
      <c r="J972" s="49">
        <v>233556.78</v>
      </c>
    </row>
    <row r="973" spans="1:10" ht="25.5" customHeight="1" x14ac:dyDescent="0.2">
      <c r="A973" s="275" t="s">
        <v>2132</v>
      </c>
      <c r="B973" s="241" t="s">
        <v>2075</v>
      </c>
      <c r="C973" s="135" t="s">
        <v>2076</v>
      </c>
      <c r="D973" s="135" t="s">
        <v>420</v>
      </c>
      <c r="E973" s="135" t="s">
        <v>896</v>
      </c>
      <c r="F973" s="49">
        <v>148</v>
      </c>
      <c r="G973" s="49">
        <v>149</v>
      </c>
      <c r="H973" s="49">
        <v>149</v>
      </c>
      <c r="I973" s="49">
        <v>149</v>
      </c>
      <c r="J973" s="49">
        <v>149</v>
      </c>
    </row>
    <row r="974" spans="1:10" ht="51" x14ac:dyDescent="0.2">
      <c r="A974" s="277"/>
      <c r="B974" s="242"/>
      <c r="C974" s="135" t="s">
        <v>2074</v>
      </c>
      <c r="D974" s="135" t="s">
        <v>302</v>
      </c>
      <c r="E974" s="135" t="s">
        <v>303</v>
      </c>
      <c r="F974" s="49">
        <v>75634.13</v>
      </c>
      <c r="G974" s="49">
        <v>111054.31</v>
      </c>
      <c r="H974" s="49">
        <v>111054.31</v>
      </c>
      <c r="I974" s="49">
        <v>111054.31</v>
      </c>
      <c r="J974" s="49">
        <v>111054.31</v>
      </c>
    </row>
    <row r="975" spans="1:10" ht="25.5" customHeight="1" x14ac:dyDescent="0.2">
      <c r="A975" s="275" t="s">
        <v>2133</v>
      </c>
      <c r="B975" s="241" t="s">
        <v>2077</v>
      </c>
      <c r="C975" s="135" t="s">
        <v>2078</v>
      </c>
      <c r="D975" s="135" t="s">
        <v>420</v>
      </c>
      <c r="E975" s="135" t="s">
        <v>896</v>
      </c>
      <c r="F975" s="49" t="s">
        <v>2079</v>
      </c>
      <c r="G975" s="49">
        <v>46</v>
      </c>
      <c r="H975" s="49">
        <v>46</v>
      </c>
      <c r="I975" s="49">
        <v>46</v>
      </c>
      <c r="J975" s="49">
        <v>46</v>
      </c>
    </row>
    <row r="976" spans="1:10" ht="51" x14ac:dyDescent="0.2">
      <c r="A976" s="277"/>
      <c r="B976" s="242"/>
      <c r="C976" s="135" t="s">
        <v>2074</v>
      </c>
      <c r="D976" s="135" t="s">
        <v>302</v>
      </c>
      <c r="E976" s="135" t="s">
        <v>303</v>
      </c>
      <c r="F976" s="49">
        <v>0</v>
      </c>
      <c r="G976" s="49">
        <v>5700</v>
      </c>
      <c r="H976" s="49">
        <v>5700</v>
      </c>
      <c r="I976" s="49">
        <v>5700</v>
      </c>
      <c r="J976" s="49">
        <v>5700</v>
      </c>
    </row>
    <row r="977" spans="1:10" ht="25.5" x14ac:dyDescent="0.2">
      <c r="A977" s="275" t="s">
        <v>2134</v>
      </c>
      <c r="B977" s="241" t="s">
        <v>2080</v>
      </c>
      <c r="C977" s="135" t="s">
        <v>57</v>
      </c>
      <c r="D977" s="135" t="s">
        <v>46</v>
      </c>
      <c r="E977" s="135" t="s">
        <v>12</v>
      </c>
      <c r="F977" s="49" t="s">
        <v>2079</v>
      </c>
      <c r="G977" s="49">
        <v>4</v>
      </c>
      <c r="H977" s="49">
        <v>4</v>
      </c>
      <c r="I977" s="49">
        <v>4</v>
      </c>
      <c r="J977" s="49">
        <v>4</v>
      </c>
    </row>
    <row r="978" spans="1:10" ht="51" x14ac:dyDescent="0.2">
      <c r="A978" s="277"/>
      <c r="B978" s="242"/>
      <c r="C978" s="135" t="s">
        <v>2074</v>
      </c>
      <c r="D978" s="135" t="s">
        <v>302</v>
      </c>
      <c r="E978" s="135" t="s">
        <v>303</v>
      </c>
      <c r="F978" s="49">
        <v>0</v>
      </c>
      <c r="G978" s="49">
        <v>5700</v>
      </c>
      <c r="H978" s="49">
        <v>5700</v>
      </c>
      <c r="I978" s="49">
        <v>5700</v>
      </c>
      <c r="J978" s="49">
        <v>5700</v>
      </c>
    </row>
    <row r="979" spans="1:10" ht="25.5" customHeight="1" x14ac:dyDescent="0.2">
      <c r="A979" s="275" t="s">
        <v>2135</v>
      </c>
      <c r="B979" s="241" t="s">
        <v>836</v>
      </c>
      <c r="C979" s="135" t="s">
        <v>2081</v>
      </c>
      <c r="D979" s="135" t="s">
        <v>20</v>
      </c>
      <c r="E979" s="135" t="s">
        <v>325</v>
      </c>
      <c r="F979" s="49">
        <v>33120</v>
      </c>
      <c r="G979" s="49">
        <v>21533</v>
      </c>
      <c r="H979" s="49">
        <v>21533</v>
      </c>
      <c r="I979" s="49">
        <v>21533</v>
      </c>
      <c r="J979" s="49">
        <v>21533</v>
      </c>
    </row>
    <row r="980" spans="1:10" ht="51" x14ac:dyDescent="0.2">
      <c r="A980" s="277"/>
      <c r="B980" s="242"/>
      <c r="C980" s="135" t="s">
        <v>2062</v>
      </c>
      <c r="D980" s="135" t="s">
        <v>302</v>
      </c>
      <c r="E980" s="135" t="s">
        <v>303</v>
      </c>
      <c r="F980" s="49">
        <v>8765.7999999999993</v>
      </c>
      <c r="G980" s="49">
        <v>2994.7925</v>
      </c>
      <c r="H980" s="49">
        <v>2994.7925</v>
      </c>
      <c r="I980" s="49">
        <v>2994.7925</v>
      </c>
      <c r="J980" s="49">
        <v>2994.7925</v>
      </c>
    </row>
    <row r="981" spans="1:10" ht="25.5" customHeight="1" x14ac:dyDescent="0.2">
      <c r="A981" s="275" t="s">
        <v>2136</v>
      </c>
      <c r="B981" s="241" t="s">
        <v>481</v>
      </c>
      <c r="C981" s="135" t="s">
        <v>2082</v>
      </c>
      <c r="D981" s="135" t="s">
        <v>20</v>
      </c>
      <c r="E981" s="135" t="s">
        <v>325</v>
      </c>
      <c r="F981" s="49">
        <v>494001</v>
      </c>
      <c r="G981" s="49">
        <v>447295</v>
      </c>
      <c r="H981" s="49">
        <v>447295</v>
      </c>
      <c r="I981" s="49">
        <v>447295</v>
      </c>
      <c r="J981" s="49">
        <v>447295</v>
      </c>
    </row>
    <row r="982" spans="1:10" ht="51" x14ac:dyDescent="0.2">
      <c r="A982" s="277"/>
      <c r="B982" s="242"/>
      <c r="C982" s="135" t="s">
        <v>2062</v>
      </c>
      <c r="D982" s="135" t="s">
        <v>302</v>
      </c>
      <c r="E982" s="135" t="s">
        <v>303</v>
      </c>
      <c r="F982" s="49">
        <v>44460.09</v>
      </c>
      <c r="G982" s="49">
        <v>40256.550000000003</v>
      </c>
      <c r="H982" s="49">
        <v>40256.550000000003</v>
      </c>
      <c r="I982" s="49">
        <v>40256.550000000003</v>
      </c>
      <c r="J982" s="49">
        <v>40256.550000000003</v>
      </c>
    </row>
    <row r="983" spans="1:10" ht="76.5" customHeight="1" x14ac:dyDescent="0.2">
      <c r="A983" s="275" t="s">
        <v>2137</v>
      </c>
      <c r="B983" s="241" t="s">
        <v>2058</v>
      </c>
      <c r="C983" s="135"/>
      <c r="D983" s="135" t="s">
        <v>316</v>
      </c>
      <c r="E983" s="135" t="s">
        <v>12</v>
      </c>
      <c r="F983" s="49">
        <v>7</v>
      </c>
      <c r="G983" s="49">
        <v>38</v>
      </c>
      <c r="H983" s="49">
        <v>38</v>
      </c>
      <c r="I983" s="49">
        <v>38</v>
      </c>
      <c r="J983" s="49">
        <v>38</v>
      </c>
    </row>
    <row r="984" spans="1:10" ht="51" x14ac:dyDescent="0.2">
      <c r="A984" s="277"/>
      <c r="B984" s="242"/>
      <c r="C984" s="135" t="s">
        <v>2062</v>
      </c>
      <c r="D984" s="135" t="s">
        <v>302</v>
      </c>
      <c r="E984" s="135" t="s">
        <v>303</v>
      </c>
      <c r="F984" s="49">
        <v>7811.72</v>
      </c>
      <c r="G984" s="49">
        <v>7811.72</v>
      </c>
      <c r="H984" s="49">
        <v>7811.72</v>
      </c>
      <c r="I984" s="49">
        <v>7811.72</v>
      </c>
      <c r="J984" s="49">
        <v>7811.72</v>
      </c>
    </row>
    <row r="985" spans="1:10" x14ac:dyDescent="0.2">
      <c r="A985" s="275" t="s">
        <v>2138</v>
      </c>
      <c r="B985" s="241" t="s">
        <v>2083</v>
      </c>
      <c r="C985" s="135" t="s">
        <v>2084</v>
      </c>
      <c r="D985" s="135" t="s">
        <v>316</v>
      </c>
      <c r="E985" s="135" t="s">
        <v>12</v>
      </c>
      <c r="F985" s="49">
        <v>1</v>
      </c>
      <c r="G985" s="49">
        <v>1</v>
      </c>
      <c r="H985" s="49">
        <v>1</v>
      </c>
      <c r="I985" s="49">
        <v>1</v>
      </c>
      <c r="J985" s="49">
        <v>1</v>
      </c>
    </row>
    <row r="986" spans="1:10" ht="51" x14ac:dyDescent="0.2">
      <c r="A986" s="277"/>
      <c r="B986" s="242"/>
      <c r="C986" s="135" t="s">
        <v>2062</v>
      </c>
      <c r="D986" s="135" t="s">
        <v>302</v>
      </c>
      <c r="E986" s="135" t="s">
        <v>303</v>
      </c>
      <c r="F986" s="49">
        <v>7063.94</v>
      </c>
      <c r="G986" s="49">
        <v>11514.7</v>
      </c>
      <c r="H986" s="49">
        <v>11514.7</v>
      </c>
      <c r="I986" s="49">
        <v>11514.7</v>
      </c>
      <c r="J986" s="49">
        <v>11514.7</v>
      </c>
    </row>
    <row r="987" spans="1:10" ht="25.5" customHeight="1" x14ac:dyDescent="0.2">
      <c r="A987" s="275" t="s">
        <v>2139</v>
      </c>
      <c r="B987" s="241" t="s">
        <v>2085</v>
      </c>
      <c r="C987" s="135" t="s">
        <v>2086</v>
      </c>
      <c r="D987" s="135" t="s">
        <v>316</v>
      </c>
      <c r="E987" s="135" t="s">
        <v>12</v>
      </c>
      <c r="F987" s="49">
        <v>7</v>
      </c>
      <c r="G987" s="49">
        <v>7</v>
      </c>
      <c r="H987" s="49">
        <v>7</v>
      </c>
      <c r="I987" s="49">
        <v>7</v>
      </c>
      <c r="J987" s="49">
        <v>7</v>
      </c>
    </row>
    <row r="988" spans="1:10" ht="51" x14ac:dyDescent="0.2">
      <c r="A988" s="276"/>
      <c r="B988" s="244"/>
      <c r="C988" s="135" t="s">
        <v>2053</v>
      </c>
      <c r="D988" s="135" t="s">
        <v>302</v>
      </c>
      <c r="E988" s="135" t="s">
        <v>303</v>
      </c>
      <c r="F988" s="49">
        <v>6661.76</v>
      </c>
      <c r="G988" s="49">
        <v>6661.7619999999997</v>
      </c>
      <c r="H988" s="49">
        <v>6661.7619999999997</v>
      </c>
      <c r="I988" s="49">
        <v>6661.7619999999997</v>
      </c>
      <c r="J988" s="49">
        <v>6661.7619999999997</v>
      </c>
    </row>
    <row r="989" spans="1:10" x14ac:dyDescent="0.2">
      <c r="A989" s="276"/>
      <c r="B989" s="244"/>
      <c r="C989" s="135" t="s">
        <v>2086</v>
      </c>
      <c r="D989" s="135" t="s">
        <v>316</v>
      </c>
      <c r="E989" s="135" t="s">
        <v>12</v>
      </c>
      <c r="F989" s="49">
        <v>5</v>
      </c>
      <c r="G989" s="49">
        <v>6</v>
      </c>
      <c r="H989" s="49">
        <v>6</v>
      </c>
      <c r="I989" s="49">
        <v>6</v>
      </c>
      <c r="J989" s="49">
        <v>6</v>
      </c>
    </row>
    <row r="990" spans="1:10" ht="51" x14ac:dyDescent="0.2">
      <c r="A990" s="276"/>
      <c r="B990" s="244"/>
      <c r="C990" s="135" t="s">
        <v>2049</v>
      </c>
      <c r="D990" s="135" t="s">
        <v>302</v>
      </c>
      <c r="E990" s="135" t="s">
        <v>303</v>
      </c>
      <c r="F990" s="49">
        <v>5447.0453399999997</v>
      </c>
      <c r="G990" s="49">
        <v>15317.325339999999</v>
      </c>
      <c r="H990" s="49">
        <v>15317.325339999999</v>
      </c>
      <c r="I990" s="49">
        <v>15317.325339999999</v>
      </c>
      <c r="J990" s="49">
        <v>15317.325339999999</v>
      </c>
    </row>
    <row r="991" spans="1:10" x14ac:dyDescent="0.2">
      <c r="A991" s="276"/>
      <c r="B991" s="244"/>
      <c r="C991" s="135" t="s">
        <v>2086</v>
      </c>
      <c r="D991" s="135" t="s">
        <v>316</v>
      </c>
      <c r="E991" s="135" t="s">
        <v>12</v>
      </c>
      <c r="F991" s="49">
        <v>1</v>
      </c>
      <c r="G991" s="49">
        <v>1</v>
      </c>
      <c r="H991" s="49">
        <v>1</v>
      </c>
      <c r="I991" s="49">
        <v>1</v>
      </c>
      <c r="J991" s="49">
        <v>1</v>
      </c>
    </row>
    <row r="992" spans="1:10" ht="51" x14ac:dyDescent="0.2">
      <c r="A992" s="277"/>
      <c r="B992" s="242"/>
      <c r="C992" s="135" t="s">
        <v>2068</v>
      </c>
      <c r="D992" s="135" t="s">
        <v>302</v>
      </c>
      <c r="E992" s="135" t="s">
        <v>303</v>
      </c>
      <c r="F992" s="49">
        <v>1165.8970400000001</v>
      </c>
      <c r="G992" s="49">
        <v>1165.8970400000001</v>
      </c>
      <c r="H992" s="49">
        <v>1165.8970400000001</v>
      </c>
      <c r="I992" s="49">
        <v>1165.8970400000001</v>
      </c>
      <c r="J992" s="49">
        <v>1165.8970400000001</v>
      </c>
    </row>
    <row r="993" spans="1:10" ht="25.5" customHeight="1" x14ac:dyDescent="0.2">
      <c r="A993" s="275" t="s">
        <v>2140</v>
      </c>
      <c r="B993" s="241" t="s">
        <v>2087</v>
      </c>
      <c r="C993" s="135" t="s">
        <v>2088</v>
      </c>
      <c r="D993" s="135" t="s">
        <v>316</v>
      </c>
      <c r="E993" s="135" t="s">
        <v>12</v>
      </c>
      <c r="F993" s="49">
        <v>2</v>
      </c>
      <c r="G993" s="49">
        <v>8</v>
      </c>
      <c r="H993" s="49">
        <v>8</v>
      </c>
      <c r="I993" s="49">
        <v>8</v>
      </c>
      <c r="J993" s="49">
        <v>8</v>
      </c>
    </row>
    <row r="994" spans="1:10" ht="51" x14ac:dyDescent="0.2">
      <c r="A994" s="276"/>
      <c r="B994" s="244"/>
      <c r="C994" s="135" t="s">
        <v>2049</v>
      </c>
      <c r="D994" s="135" t="s">
        <v>302</v>
      </c>
      <c r="E994" s="135" t="s">
        <v>303</v>
      </c>
      <c r="F994" s="49">
        <v>1000</v>
      </c>
      <c r="G994" s="49">
        <v>6447.05</v>
      </c>
      <c r="H994" s="49">
        <v>6447.05</v>
      </c>
      <c r="I994" s="49">
        <v>6447.05</v>
      </c>
      <c r="J994" s="49">
        <v>6447.05</v>
      </c>
    </row>
    <row r="995" spans="1:10" x14ac:dyDescent="0.2">
      <c r="A995" s="276"/>
      <c r="B995" s="244"/>
      <c r="C995" s="135" t="s">
        <v>2089</v>
      </c>
      <c r="D995" s="135" t="s">
        <v>316</v>
      </c>
      <c r="E995" s="135" t="s">
        <v>12</v>
      </c>
      <c r="F995" s="49">
        <v>1</v>
      </c>
      <c r="G995" s="49">
        <v>1</v>
      </c>
      <c r="H995" s="49">
        <v>1</v>
      </c>
      <c r="I995" s="49">
        <v>1</v>
      </c>
      <c r="J995" s="49">
        <v>1</v>
      </c>
    </row>
    <row r="996" spans="1:10" ht="51" x14ac:dyDescent="0.2">
      <c r="A996" s="277"/>
      <c r="B996" s="242"/>
      <c r="C996" s="135" t="s">
        <v>2062</v>
      </c>
      <c r="D996" s="135" t="s">
        <v>302</v>
      </c>
      <c r="E996" s="135" t="s">
        <v>303</v>
      </c>
      <c r="F996" s="49">
        <v>6517.1326799999997</v>
      </c>
      <c r="G996" s="49">
        <v>6517.1326799999997</v>
      </c>
      <c r="H996" s="49">
        <v>6517.1326799999997</v>
      </c>
      <c r="I996" s="49">
        <v>6517.1326799999997</v>
      </c>
      <c r="J996" s="49">
        <v>6517.1326799999997</v>
      </c>
    </row>
    <row r="997" spans="1:10" ht="38.25" customHeight="1" x14ac:dyDescent="0.2">
      <c r="A997" s="275" t="s">
        <v>2141</v>
      </c>
      <c r="B997" s="241" t="s">
        <v>2090</v>
      </c>
      <c r="C997" s="135" t="s">
        <v>2091</v>
      </c>
      <c r="D997" s="135" t="s">
        <v>316</v>
      </c>
      <c r="E997" s="135" t="s">
        <v>12</v>
      </c>
      <c r="F997" s="49">
        <v>1</v>
      </c>
      <c r="G997" s="49">
        <v>1</v>
      </c>
      <c r="H997" s="49">
        <v>1</v>
      </c>
      <c r="I997" s="49">
        <v>1</v>
      </c>
      <c r="J997" s="49">
        <v>1</v>
      </c>
    </row>
    <row r="998" spans="1:10" ht="51" x14ac:dyDescent="0.2">
      <c r="A998" s="277"/>
      <c r="B998" s="242"/>
      <c r="C998" s="135" t="s">
        <v>2062</v>
      </c>
      <c r="D998" s="135" t="s">
        <v>302</v>
      </c>
      <c r="E998" s="135" t="s">
        <v>303</v>
      </c>
      <c r="F998" s="49">
        <v>1648.711</v>
      </c>
      <c r="G998" s="49">
        <v>1648.711</v>
      </c>
      <c r="H998" s="49">
        <v>1648.711</v>
      </c>
      <c r="I998" s="49">
        <v>1648.711</v>
      </c>
      <c r="J998" s="49">
        <v>1648.711</v>
      </c>
    </row>
    <row r="999" spans="1:10" x14ac:dyDescent="0.2">
      <c r="A999" s="275" t="s">
        <v>2142</v>
      </c>
      <c r="B999" s="241" t="s">
        <v>2092</v>
      </c>
      <c r="C999" s="135" t="s">
        <v>2093</v>
      </c>
      <c r="D999" s="135" t="s">
        <v>2094</v>
      </c>
      <c r="E999" s="135" t="s">
        <v>896</v>
      </c>
      <c r="F999" s="49">
        <v>2109</v>
      </c>
      <c r="G999" s="49">
        <v>2050</v>
      </c>
      <c r="H999" s="49">
        <v>2050</v>
      </c>
      <c r="I999" s="49">
        <v>2050</v>
      </c>
      <c r="J999" s="49">
        <v>2050</v>
      </c>
    </row>
    <row r="1000" spans="1:10" ht="51" x14ac:dyDescent="0.2">
      <c r="A1000" s="277"/>
      <c r="B1000" s="242"/>
      <c r="C1000" s="135" t="s">
        <v>2035</v>
      </c>
      <c r="D1000" s="135" t="s">
        <v>302</v>
      </c>
      <c r="E1000" s="135" t="s">
        <v>303</v>
      </c>
      <c r="F1000" s="49">
        <v>11515.14</v>
      </c>
      <c r="G1000" s="49">
        <v>11193</v>
      </c>
      <c r="H1000" s="49">
        <v>11193</v>
      </c>
      <c r="I1000" s="49">
        <v>11193</v>
      </c>
      <c r="J1000" s="49">
        <v>11193</v>
      </c>
    </row>
    <row r="1001" spans="1:10" ht="51" x14ac:dyDescent="0.2">
      <c r="A1001" s="275" t="s">
        <v>2143</v>
      </c>
      <c r="B1001" s="241" t="s">
        <v>2095</v>
      </c>
      <c r="C1001" s="135" t="s">
        <v>2096</v>
      </c>
      <c r="D1001" s="135" t="s">
        <v>2097</v>
      </c>
      <c r="E1001" s="135" t="s">
        <v>896</v>
      </c>
      <c r="F1001" s="49">
        <v>5463</v>
      </c>
      <c r="G1001" s="49">
        <v>6000</v>
      </c>
      <c r="H1001" s="49">
        <v>6000</v>
      </c>
      <c r="I1001" s="49">
        <v>6000</v>
      </c>
      <c r="J1001" s="49">
        <v>6000</v>
      </c>
    </row>
    <row r="1002" spans="1:10" ht="51" x14ac:dyDescent="0.2">
      <c r="A1002" s="277"/>
      <c r="B1002" s="242"/>
      <c r="C1002" s="135" t="s">
        <v>2035</v>
      </c>
      <c r="D1002" s="135" t="s">
        <v>302</v>
      </c>
      <c r="E1002" s="135" t="s">
        <v>303</v>
      </c>
      <c r="F1002" s="49">
        <v>5615.9639999999999</v>
      </c>
      <c r="G1002" s="49">
        <v>6168</v>
      </c>
      <c r="H1002" s="49">
        <v>6168</v>
      </c>
      <c r="I1002" s="49">
        <v>6168</v>
      </c>
      <c r="J1002" s="49">
        <v>6168</v>
      </c>
    </row>
    <row r="1003" spans="1:10" ht="25.5" customHeight="1" x14ac:dyDescent="0.2">
      <c r="A1003" s="275" t="s">
        <v>2144</v>
      </c>
      <c r="B1003" s="241" t="s">
        <v>2098</v>
      </c>
      <c r="C1003" s="135" t="s">
        <v>2099</v>
      </c>
      <c r="D1003" s="135" t="s">
        <v>2094</v>
      </c>
      <c r="E1003" s="135" t="s">
        <v>896</v>
      </c>
      <c r="F1003" s="49">
        <v>228</v>
      </c>
      <c r="G1003" s="49">
        <v>220</v>
      </c>
      <c r="H1003" s="49">
        <v>220</v>
      </c>
      <c r="I1003" s="49">
        <v>220</v>
      </c>
      <c r="J1003" s="49">
        <v>220</v>
      </c>
    </row>
    <row r="1004" spans="1:10" ht="51" x14ac:dyDescent="0.2">
      <c r="A1004" s="277"/>
      <c r="B1004" s="242"/>
      <c r="C1004" s="135" t="s">
        <v>2035</v>
      </c>
      <c r="D1004" s="135" t="s">
        <v>302</v>
      </c>
      <c r="E1004" s="135" t="s">
        <v>303</v>
      </c>
      <c r="F1004" s="49">
        <v>9484.116</v>
      </c>
      <c r="G1004" s="49">
        <v>9484.0159999999996</v>
      </c>
      <c r="H1004" s="49">
        <v>9484.0159999999996</v>
      </c>
      <c r="I1004" s="49">
        <v>9484.0159999999996</v>
      </c>
      <c r="J1004" s="49">
        <v>9484.0159999999996</v>
      </c>
    </row>
    <row r="1005" spans="1:10" ht="38.25" customHeight="1" x14ac:dyDescent="0.2">
      <c r="A1005" s="275" t="s">
        <v>2145</v>
      </c>
      <c r="B1005" s="241" t="s">
        <v>2100</v>
      </c>
      <c r="C1005" s="135" t="s">
        <v>2101</v>
      </c>
      <c r="D1005" s="135" t="s">
        <v>2102</v>
      </c>
      <c r="E1005" s="135" t="s">
        <v>896</v>
      </c>
      <c r="F1005" s="49">
        <v>32</v>
      </c>
      <c r="G1005" s="49">
        <v>32</v>
      </c>
      <c r="H1005" s="49">
        <v>32</v>
      </c>
      <c r="I1005" s="49">
        <v>32</v>
      </c>
      <c r="J1005" s="49">
        <v>32</v>
      </c>
    </row>
    <row r="1006" spans="1:10" ht="51" x14ac:dyDescent="0.2">
      <c r="A1006" s="276"/>
      <c r="B1006" s="244"/>
      <c r="C1006" s="135" t="s">
        <v>2103</v>
      </c>
      <c r="D1006" s="135" t="s">
        <v>302</v>
      </c>
      <c r="E1006" s="135" t="s">
        <v>303</v>
      </c>
      <c r="F1006" s="49">
        <v>19459.613999999998</v>
      </c>
      <c r="G1006" s="49">
        <v>22802.853999999999</v>
      </c>
      <c r="H1006" s="49">
        <v>22802.853999999999</v>
      </c>
      <c r="I1006" s="49">
        <v>22802.853999999999</v>
      </c>
      <c r="J1006" s="49">
        <v>22802.853999999999</v>
      </c>
    </row>
    <row r="1007" spans="1:10" ht="25.5" x14ac:dyDescent="0.2">
      <c r="A1007" s="276"/>
      <c r="B1007" s="244"/>
      <c r="C1007" s="135" t="s">
        <v>2101</v>
      </c>
      <c r="D1007" s="135" t="s">
        <v>2102</v>
      </c>
      <c r="E1007" s="135" t="s">
        <v>896</v>
      </c>
      <c r="F1007" s="49">
        <v>132</v>
      </c>
      <c r="G1007" s="49">
        <v>150</v>
      </c>
      <c r="H1007" s="49">
        <v>150</v>
      </c>
      <c r="I1007" s="49">
        <v>150</v>
      </c>
      <c r="J1007" s="49">
        <v>150</v>
      </c>
    </row>
    <row r="1008" spans="1:10" ht="51" x14ac:dyDescent="0.2">
      <c r="A1008" s="277"/>
      <c r="B1008" s="242"/>
      <c r="C1008" s="135" t="s">
        <v>2104</v>
      </c>
      <c r="D1008" s="135" t="s">
        <v>302</v>
      </c>
      <c r="E1008" s="135" t="s">
        <v>303</v>
      </c>
      <c r="F1008" s="49">
        <v>81756.444000000003</v>
      </c>
      <c r="G1008" s="49">
        <v>92905.05</v>
      </c>
      <c r="H1008" s="49">
        <v>92905.05</v>
      </c>
      <c r="I1008" s="49">
        <v>92905.05</v>
      </c>
      <c r="J1008" s="49">
        <v>92905.05</v>
      </c>
    </row>
    <row r="1009" spans="1:11" ht="38.25" x14ac:dyDescent="0.2">
      <c r="A1009" s="275" t="s">
        <v>2154</v>
      </c>
      <c r="B1009" s="241" t="s">
        <v>2105</v>
      </c>
      <c r="C1009" s="135" t="s">
        <v>2106</v>
      </c>
      <c r="D1009" s="135" t="s">
        <v>2107</v>
      </c>
      <c r="E1009" s="135" t="s">
        <v>896</v>
      </c>
      <c r="F1009" s="49">
        <v>57</v>
      </c>
      <c r="G1009" s="49">
        <v>58</v>
      </c>
      <c r="H1009" s="49">
        <v>58</v>
      </c>
      <c r="I1009" s="49">
        <v>58</v>
      </c>
      <c r="J1009" s="49">
        <v>58</v>
      </c>
    </row>
    <row r="1010" spans="1:11" ht="51" x14ac:dyDescent="0.2">
      <c r="A1010" s="277"/>
      <c r="B1010" s="242"/>
      <c r="C1010" s="135" t="s">
        <v>2108</v>
      </c>
      <c r="D1010" s="135" t="s">
        <v>302</v>
      </c>
      <c r="E1010" s="135" t="s">
        <v>303</v>
      </c>
      <c r="F1010" s="49">
        <v>9812.8919999999998</v>
      </c>
      <c r="G1010" s="49">
        <v>9985.0480000000007</v>
      </c>
      <c r="H1010" s="49">
        <v>9985.0480000000007</v>
      </c>
      <c r="I1010" s="49">
        <v>9985.0480000000007</v>
      </c>
      <c r="J1010" s="49">
        <v>9985.0480000000007</v>
      </c>
    </row>
    <row r="1011" spans="1:11" ht="38.25" x14ac:dyDescent="0.2">
      <c r="A1011" s="275" t="s">
        <v>2153</v>
      </c>
      <c r="B1011" s="241" t="s">
        <v>2109</v>
      </c>
      <c r="C1011" s="135" t="s">
        <v>2110</v>
      </c>
      <c r="D1011" s="135" t="s">
        <v>2107</v>
      </c>
      <c r="E1011" s="135" t="s">
        <v>896</v>
      </c>
      <c r="F1011" s="49">
        <v>77</v>
      </c>
      <c r="G1011" s="49">
        <v>77</v>
      </c>
      <c r="H1011" s="49">
        <v>77</v>
      </c>
      <c r="I1011" s="49">
        <v>77</v>
      </c>
      <c r="J1011" s="49">
        <v>77</v>
      </c>
    </row>
    <row r="1012" spans="1:11" ht="51" x14ac:dyDescent="0.2">
      <c r="A1012" s="277"/>
      <c r="B1012" s="242"/>
      <c r="C1012" s="135" t="s">
        <v>2108</v>
      </c>
      <c r="D1012" s="135" t="s">
        <v>302</v>
      </c>
      <c r="E1012" s="135" t="s">
        <v>303</v>
      </c>
      <c r="F1012" s="49">
        <v>6107.64</v>
      </c>
      <c r="G1012" s="49">
        <v>6107.64</v>
      </c>
      <c r="H1012" s="49">
        <v>6107.64</v>
      </c>
      <c r="I1012" s="49">
        <v>6107.64</v>
      </c>
      <c r="J1012" s="49">
        <v>6107.64</v>
      </c>
    </row>
    <row r="1013" spans="1:11" ht="89.25" customHeight="1" x14ac:dyDescent="0.2">
      <c r="A1013" s="275" t="s">
        <v>2146</v>
      </c>
      <c r="B1013" s="241" t="s">
        <v>298</v>
      </c>
      <c r="C1013" s="135" t="s">
        <v>2111</v>
      </c>
      <c r="D1013" s="135" t="s">
        <v>2107</v>
      </c>
      <c r="E1013" s="135" t="s">
        <v>896</v>
      </c>
      <c r="F1013" s="49">
        <v>279</v>
      </c>
      <c r="G1013" s="49">
        <v>271</v>
      </c>
      <c r="H1013" s="49">
        <v>271</v>
      </c>
      <c r="I1013" s="49">
        <v>271</v>
      </c>
      <c r="J1013" s="49">
        <v>271</v>
      </c>
    </row>
    <row r="1014" spans="1:11" ht="51" x14ac:dyDescent="0.2">
      <c r="A1014" s="277"/>
      <c r="B1014" s="242"/>
      <c r="C1014" s="135" t="s">
        <v>2108</v>
      </c>
      <c r="D1014" s="135" t="s">
        <v>302</v>
      </c>
      <c r="E1014" s="135" t="s">
        <v>303</v>
      </c>
      <c r="F1014" s="49">
        <v>49253.544000000002</v>
      </c>
      <c r="G1014" s="49">
        <v>47841.256000000001</v>
      </c>
      <c r="H1014" s="49">
        <v>44508.536</v>
      </c>
      <c r="I1014" s="49">
        <v>44508.536</v>
      </c>
      <c r="J1014" s="49">
        <v>44508.536</v>
      </c>
    </row>
    <row r="1015" spans="1:11" ht="102" customHeight="1" x14ac:dyDescent="0.2">
      <c r="A1015" s="275" t="s">
        <v>2148</v>
      </c>
      <c r="B1015" s="241" t="s">
        <v>2112</v>
      </c>
      <c r="C1015" s="135" t="s">
        <v>2113</v>
      </c>
      <c r="D1015" s="135" t="s">
        <v>2107</v>
      </c>
      <c r="E1015" s="135" t="s">
        <v>896</v>
      </c>
      <c r="F1015" s="49">
        <v>112</v>
      </c>
      <c r="G1015" s="49" t="s">
        <v>2079</v>
      </c>
      <c r="H1015" s="49" t="s">
        <v>2079</v>
      </c>
      <c r="I1015" s="49" t="s">
        <v>2079</v>
      </c>
      <c r="J1015" s="49" t="s">
        <v>2079</v>
      </c>
    </row>
    <row r="1016" spans="1:11" ht="51" x14ac:dyDescent="0.2">
      <c r="A1016" s="277"/>
      <c r="B1016" s="242"/>
      <c r="C1016" s="135" t="s">
        <v>2104</v>
      </c>
      <c r="D1016" s="135" t="s">
        <v>302</v>
      </c>
      <c r="E1016" s="135" t="s">
        <v>303</v>
      </c>
      <c r="F1016" s="49">
        <v>212983.05</v>
      </c>
      <c r="G1016" s="49">
        <v>216150.54</v>
      </c>
      <c r="H1016" s="49">
        <v>216150.54</v>
      </c>
      <c r="I1016" s="49">
        <v>216150.54</v>
      </c>
      <c r="J1016" s="49">
        <v>216150.54</v>
      </c>
    </row>
    <row r="1017" spans="1:11" ht="38.25" x14ac:dyDescent="0.2">
      <c r="A1017" s="275" t="s">
        <v>2147</v>
      </c>
      <c r="B1017" s="241" t="s">
        <v>2114</v>
      </c>
      <c r="C1017" s="135" t="s">
        <v>2115</v>
      </c>
      <c r="D1017" s="135" t="s">
        <v>2107</v>
      </c>
      <c r="E1017" s="135" t="s">
        <v>2116</v>
      </c>
      <c r="F1017" s="49">
        <v>226</v>
      </c>
      <c r="G1017" s="49">
        <v>200</v>
      </c>
      <c r="H1017" s="49">
        <v>200</v>
      </c>
      <c r="I1017" s="49">
        <v>200</v>
      </c>
      <c r="J1017" s="49">
        <v>200</v>
      </c>
    </row>
    <row r="1018" spans="1:11" ht="51" x14ac:dyDescent="0.2">
      <c r="A1018" s="277"/>
      <c r="B1018" s="242"/>
      <c r="C1018" s="135" t="s">
        <v>2117</v>
      </c>
      <c r="D1018" s="135" t="s">
        <v>302</v>
      </c>
      <c r="E1018" s="135" t="s">
        <v>303</v>
      </c>
      <c r="F1018" s="49">
        <v>82.14</v>
      </c>
      <c r="G1018" s="49">
        <v>67.641980000000004</v>
      </c>
      <c r="H1018" s="49">
        <v>67.631979999999999</v>
      </c>
      <c r="I1018" s="49">
        <v>67.631979999999999</v>
      </c>
      <c r="J1018" s="49">
        <v>67.631979999999999</v>
      </c>
    </row>
    <row r="1019" spans="1:11" s="89" customFormat="1" ht="39.75" customHeight="1" x14ac:dyDescent="0.2">
      <c r="A1019" s="228" t="s">
        <v>2151</v>
      </c>
      <c r="B1019" s="229"/>
      <c r="C1019" s="229"/>
      <c r="D1019" s="230"/>
      <c r="E1019" s="121" t="s">
        <v>303</v>
      </c>
      <c r="F1019" s="94">
        <f>F926+F928+F930+F932+F934+F936+F938+F940+F942+F944+F946+F948+F950+F952+F954+F956+F958+F960+F962+F964+F966+F970+F972+F974+F976+F978+F980+F982+F984+F986+F988+F990+F992+F994+F996+F998+F1000+F1002+F1004+F1006+F1008+F1010+F1012+F968+F1014+F1016+F1018</f>
        <v>4034772.2253037887</v>
      </c>
      <c r="G1019" s="94">
        <f t="shared" ref="G1019:J1019" si="25">G926+G928+G930+G932+G934+G936+G938+G940+G942+G944+G946+G948+G950+G952+G954+G956+G958+G960+G962+G964+G966+G970+G972+G974+G976+G978+G980+G982+G984+G986+G988+G990+G992+G994+G996+G998+G1000+G1002+G1004+G1006+G1008+G1010+G1012+G968+G1014+G1016+G1018</f>
        <v>4083433.0316499998</v>
      </c>
      <c r="H1019" s="94">
        <f t="shared" si="25"/>
        <v>4067948.21165</v>
      </c>
      <c r="I1019" s="94">
        <f t="shared" si="25"/>
        <v>4080100.3016499998</v>
      </c>
      <c r="J1019" s="94">
        <f t="shared" si="25"/>
        <v>4080100.3016499998</v>
      </c>
      <c r="K1019" s="167"/>
    </row>
    <row r="1020" spans="1:11" s="86" customFormat="1" ht="26.25" customHeight="1" x14ac:dyDescent="0.2">
      <c r="A1020" s="175" t="s">
        <v>1391</v>
      </c>
      <c r="B1020" s="257" t="s">
        <v>864</v>
      </c>
      <c r="C1020" s="257"/>
      <c r="D1020" s="257"/>
      <c r="E1020" s="257"/>
      <c r="F1020" s="257"/>
      <c r="G1020" s="257"/>
      <c r="H1020" s="257"/>
      <c r="I1020" s="257"/>
      <c r="J1020" s="257"/>
      <c r="K1020" s="85"/>
    </row>
    <row r="1021" spans="1:11" x14ac:dyDescent="0.2">
      <c r="A1021" s="268" t="s">
        <v>1392</v>
      </c>
      <c r="B1021" s="258" t="s">
        <v>865</v>
      </c>
      <c r="C1021" s="42" t="s">
        <v>866</v>
      </c>
      <c r="D1021" s="135" t="s">
        <v>867</v>
      </c>
      <c r="E1021" s="135" t="s">
        <v>868</v>
      </c>
      <c r="F1021" s="49">
        <v>48</v>
      </c>
      <c r="G1021" s="60">
        <v>48</v>
      </c>
      <c r="H1021" s="76">
        <v>48</v>
      </c>
      <c r="I1021" s="76">
        <v>48</v>
      </c>
      <c r="J1021" s="76">
        <v>48</v>
      </c>
      <c r="K1021" s="10"/>
    </row>
    <row r="1022" spans="1:11" ht="51" x14ac:dyDescent="0.2">
      <c r="A1022" s="268"/>
      <c r="B1022" s="258"/>
      <c r="C1022" s="42" t="s">
        <v>869</v>
      </c>
      <c r="D1022" s="149" t="s">
        <v>302</v>
      </c>
      <c r="E1022" s="46" t="s">
        <v>303</v>
      </c>
      <c r="F1022" s="63">
        <v>2824.6</v>
      </c>
      <c r="G1022" s="61">
        <v>2797.9</v>
      </c>
      <c r="H1022" s="61">
        <v>2865.5</v>
      </c>
      <c r="I1022" s="63">
        <v>2905</v>
      </c>
      <c r="J1022" s="63">
        <v>3021.2</v>
      </c>
      <c r="K1022" s="10"/>
    </row>
    <row r="1023" spans="1:11" ht="25.5" x14ac:dyDescent="0.2">
      <c r="A1023" s="268" t="s">
        <v>1699</v>
      </c>
      <c r="B1023" s="258" t="s">
        <v>870</v>
      </c>
      <c r="C1023" s="42" t="s">
        <v>871</v>
      </c>
      <c r="D1023" s="135" t="s">
        <v>46</v>
      </c>
      <c r="E1023" s="135" t="s">
        <v>872</v>
      </c>
      <c r="F1023" s="49">
        <v>1</v>
      </c>
      <c r="G1023" s="60">
        <v>0</v>
      </c>
      <c r="H1023" s="60">
        <v>0</v>
      </c>
      <c r="I1023" s="60">
        <v>0</v>
      </c>
      <c r="J1023" s="60">
        <v>0</v>
      </c>
      <c r="K1023" s="10"/>
    </row>
    <row r="1024" spans="1:11" ht="51" x14ac:dyDescent="0.2">
      <c r="A1024" s="268"/>
      <c r="B1024" s="258"/>
      <c r="C1024" s="42" t="s">
        <v>873</v>
      </c>
      <c r="D1024" s="149" t="s">
        <v>302</v>
      </c>
      <c r="E1024" s="46" t="s">
        <v>303</v>
      </c>
      <c r="F1024" s="63">
        <v>308</v>
      </c>
      <c r="G1024" s="61">
        <v>0</v>
      </c>
      <c r="H1024" s="61">
        <v>0</v>
      </c>
      <c r="I1024" s="61">
        <v>0</v>
      </c>
      <c r="J1024" s="61">
        <v>0</v>
      </c>
      <c r="K1024" s="10"/>
    </row>
    <row r="1025" spans="1:11" ht="38.25" x14ac:dyDescent="0.2">
      <c r="A1025" s="268" t="s">
        <v>1700</v>
      </c>
      <c r="B1025" s="258" t="s">
        <v>874</v>
      </c>
      <c r="C1025" s="42" t="s">
        <v>875</v>
      </c>
      <c r="D1025" s="135" t="s">
        <v>876</v>
      </c>
      <c r="E1025" s="135" t="s">
        <v>868</v>
      </c>
      <c r="F1025" s="49">
        <v>136</v>
      </c>
      <c r="G1025" s="60">
        <v>0</v>
      </c>
      <c r="H1025" s="60">
        <v>0</v>
      </c>
      <c r="I1025" s="60">
        <v>0</v>
      </c>
      <c r="J1025" s="60">
        <v>0</v>
      </c>
      <c r="K1025" s="10"/>
    </row>
    <row r="1026" spans="1:11" ht="51" x14ac:dyDescent="0.2">
      <c r="A1026" s="268"/>
      <c r="B1026" s="258"/>
      <c r="C1026" s="42" t="s">
        <v>873</v>
      </c>
      <c r="D1026" s="149" t="s">
        <v>302</v>
      </c>
      <c r="E1026" s="46" t="s">
        <v>303</v>
      </c>
      <c r="F1026" s="63">
        <v>73.900000000000006</v>
      </c>
      <c r="G1026" s="61">
        <v>0</v>
      </c>
      <c r="H1026" s="61">
        <v>0</v>
      </c>
      <c r="I1026" s="61">
        <v>0</v>
      </c>
      <c r="J1026" s="61">
        <v>0</v>
      </c>
      <c r="K1026" s="10"/>
    </row>
    <row r="1027" spans="1:11" ht="38.25" x14ac:dyDescent="0.2">
      <c r="A1027" s="268" t="s">
        <v>1701</v>
      </c>
      <c r="B1027" s="258" t="s">
        <v>877</v>
      </c>
      <c r="C1027" s="42" t="s">
        <v>878</v>
      </c>
      <c r="D1027" s="135" t="s">
        <v>876</v>
      </c>
      <c r="E1027" s="135" t="s">
        <v>868</v>
      </c>
      <c r="F1027" s="49">
        <v>77</v>
      </c>
      <c r="G1027" s="60">
        <v>0</v>
      </c>
      <c r="H1027" s="60">
        <v>0</v>
      </c>
      <c r="I1027" s="60">
        <v>0</v>
      </c>
      <c r="J1027" s="60">
        <v>0</v>
      </c>
      <c r="K1027" s="10"/>
    </row>
    <row r="1028" spans="1:11" ht="51" x14ac:dyDescent="0.2">
      <c r="A1028" s="268"/>
      <c r="B1028" s="258"/>
      <c r="C1028" s="42" t="s">
        <v>873</v>
      </c>
      <c r="D1028" s="149" t="s">
        <v>302</v>
      </c>
      <c r="E1028" s="46" t="s">
        <v>303</v>
      </c>
      <c r="F1028" s="62">
        <v>85.1</v>
      </c>
      <c r="G1028" s="61">
        <v>0</v>
      </c>
      <c r="H1028" s="61">
        <v>0</v>
      </c>
      <c r="I1028" s="61">
        <v>0</v>
      </c>
      <c r="J1028" s="61">
        <v>0</v>
      </c>
      <c r="K1028" s="10"/>
    </row>
    <row r="1029" spans="1:11" ht="38.25" x14ac:dyDescent="0.2">
      <c r="A1029" s="268" t="s">
        <v>1702</v>
      </c>
      <c r="B1029" s="258" t="s">
        <v>879</v>
      </c>
      <c r="C1029" s="42" t="s">
        <v>880</v>
      </c>
      <c r="D1029" s="135" t="s">
        <v>876</v>
      </c>
      <c r="E1029" s="135" t="s">
        <v>868</v>
      </c>
      <c r="F1029" s="49">
        <v>212</v>
      </c>
      <c r="G1029" s="60">
        <v>202</v>
      </c>
      <c r="H1029" s="60">
        <v>0</v>
      </c>
      <c r="I1029" s="76">
        <v>0</v>
      </c>
      <c r="J1029" s="76">
        <v>0</v>
      </c>
      <c r="K1029" s="10"/>
    </row>
    <row r="1030" spans="1:11" ht="51" x14ac:dyDescent="0.2">
      <c r="A1030" s="268"/>
      <c r="B1030" s="258"/>
      <c r="C1030" s="42" t="s">
        <v>873</v>
      </c>
      <c r="D1030" s="149" t="s">
        <v>302</v>
      </c>
      <c r="E1030" s="46" t="s">
        <v>303</v>
      </c>
      <c r="F1030" s="62">
        <f>2084.1-797.9</f>
        <v>1286.1999999999998</v>
      </c>
      <c r="G1030" s="61">
        <v>2207.4</v>
      </c>
      <c r="H1030" s="60">
        <v>0</v>
      </c>
      <c r="I1030" s="76">
        <v>0</v>
      </c>
      <c r="J1030" s="76">
        <v>0</v>
      </c>
      <c r="K1030" s="10"/>
    </row>
    <row r="1031" spans="1:11" ht="51" x14ac:dyDescent="0.2">
      <c r="A1031" s="268"/>
      <c r="B1031" s="258"/>
      <c r="C1031" s="42" t="s">
        <v>881</v>
      </c>
      <c r="D1031" s="149" t="s">
        <v>302</v>
      </c>
      <c r="E1031" s="46" t="s">
        <v>303</v>
      </c>
      <c r="F1031" s="62">
        <v>797.9</v>
      </c>
      <c r="G1031" s="61">
        <v>0</v>
      </c>
      <c r="H1031" s="60">
        <v>0</v>
      </c>
      <c r="I1031" s="76">
        <v>0</v>
      </c>
      <c r="J1031" s="76">
        <v>0</v>
      </c>
      <c r="K1031" s="10"/>
    </row>
    <row r="1032" spans="1:11" ht="38.25" x14ac:dyDescent="0.2">
      <c r="A1032" s="268" t="s">
        <v>1703</v>
      </c>
      <c r="B1032" s="258" t="s">
        <v>882</v>
      </c>
      <c r="C1032" s="42" t="s">
        <v>883</v>
      </c>
      <c r="D1032" s="135" t="s">
        <v>876</v>
      </c>
      <c r="E1032" s="135" t="s">
        <v>868</v>
      </c>
      <c r="F1032" s="62">
        <v>0</v>
      </c>
      <c r="G1032" s="61">
        <v>648</v>
      </c>
      <c r="H1032" s="61">
        <v>860</v>
      </c>
      <c r="I1032" s="61">
        <v>860</v>
      </c>
      <c r="J1032" s="61">
        <v>860</v>
      </c>
      <c r="K1032" s="10"/>
    </row>
    <row r="1033" spans="1:11" ht="51" x14ac:dyDescent="0.2">
      <c r="A1033" s="268"/>
      <c r="B1033" s="258"/>
      <c r="C1033" s="42" t="s">
        <v>873</v>
      </c>
      <c r="D1033" s="149" t="s">
        <v>302</v>
      </c>
      <c r="E1033" s="46" t="s">
        <v>303</v>
      </c>
      <c r="F1033" s="62">
        <v>0</v>
      </c>
      <c r="G1033" s="61">
        <v>5423.7</v>
      </c>
      <c r="H1033" s="61">
        <v>7385.7</v>
      </c>
      <c r="I1033" s="62">
        <v>7518.6</v>
      </c>
      <c r="J1033" s="62">
        <v>7819.4</v>
      </c>
      <c r="K1033" s="10"/>
    </row>
    <row r="1034" spans="1:11" ht="38.25" x14ac:dyDescent="0.2">
      <c r="A1034" s="268" t="s">
        <v>1704</v>
      </c>
      <c r="B1034" s="258" t="s">
        <v>884</v>
      </c>
      <c r="C1034" s="42" t="s">
        <v>885</v>
      </c>
      <c r="D1034" s="135" t="s">
        <v>876</v>
      </c>
      <c r="E1034" s="135" t="s">
        <v>868</v>
      </c>
      <c r="F1034" s="49">
        <v>91</v>
      </c>
      <c r="G1034" s="60">
        <v>0</v>
      </c>
      <c r="H1034" s="60">
        <v>0</v>
      </c>
      <c r="I1034" s="60">
        <v>0</v>
      </c>
      <c r="J1034" s="60">
        <v>0</v>
      </c>
      <c r="K1034" s="10"/>
    </row>
    <row r="1035" spans="1:11" ht="51" x14ac:dyDescent="0.2">
      <c r="A1035" s="268"/>
      <c r="B1035" s="258"/>
      <c r="C1035" s="42" t="s">
        <v>873</v>
      </c>
      <c r="D1035" s="149" t="s">
        <v>302</v>
      </c>
      <c r="E1035" s="46" t="s">
        <v>303</v>
      </c>
      <c r="F1035" s="62">
        <v>120</v>
      </c>
      <c r="G1035" s="60">
        <v>0</v>
      </c>
      <c r="H1035" s="60">
        <v>0</v>
      </c>
      <c r="I1035" s="60">
        <v>0</v>
      </c>
      <c r="J1035" s="60">
        <v>0</v>
      </c>
      <c r="K1035" s="10"/>
    </row>
    <row r="1036" spans="1:11" x14ac:dyDescent="0.2">
      <c r="A1036" s="268" t="s">
        <v>1705</v>
      </c>
      <c r="B1036" s="258" t="s">
        <v>886</v>
      </c>
      <c r="C1036" s="42" t="s">
        <v>887</v>
      </c>
      <c r="D1036" s="135" t="s">
        <v>316</v>
      </c>
      <c r="E1036" s="135" t="s">
        <v>868</v>
      </c>
      <c r="F1036" s="49">
        <v>3</v>
      </c>
      <c r="G1036" s="60">
        <v>0</v>
      </c>
      <c r="H1036" s="60">
        <v>0</v>
      </c>
      <c r="I1036" s="60">
        <v>0</v>
      </c>
      <c r="J1036" s="60">
        <v>0</v>
      </c>
      <c r="K1036" s="10"/>
    </row>
    <row r="1037" spans="1:11" ht="51" x14ac:dyDescent="0.2">
      <c r="A1037" s="268"/>
      <c r="B1037" s="258"/>
      <c r="C1037" s="42" t="s">
        <v>873</v>
      </c>
      <c r="D1037" s="149" t="s">
        <v>302</v>
      </c>
      <c r="E1037" s="46" t="s">
        <v>303</v>
      </c>
      <c r="F1037" s="63">
        <v>110.2</v>
      </c>
      <c r="G1037" s="60">
        <v>0</v>
      </c>
      <c r="H1037" s="60">
        <v>0</v>
      </c>
      <c r="I1037" s="60">
        <v>0</v>
      </c>
      <c r="J1037" s="60">
        <v>0</v>
      </c>
      <c r="K1037" s="10"/>
    </row>
    <row r="1038" spans="1:11" ht="38.25" x14ac:dyDescent="0.2">
      <c r="A1038" s="268" t="s">
        <v>1706</v>
      </c>
      <c r="B1038" s="278" t="s">
        <v>888</v>
      </c>
      <c r="C1038" s="42" t="s">
        <v>889</v>
      </c>
      <c r="D1038" s="135" t="s">
        <v>876</v>
      </c>
      <c r="E1038" s="135" t="s">
        <v>868</v>
      </c>
      <c r="F1038" s="49">
        <v>58</v>
      </c>
      <c r="G1038" s="60">
        <v>0</v>
      </c>
      <c r="H1038" s="60">
        <v>0</v>
      </c>
      <c r="I1038" s="60">
        <v>0</v>
      </c>
      <c r="J1038" s="60">
        <v>0</v>
      </c>
      <c r="K1038" s="10"/>
    </row>
    <row r="1039" spans="1:11" ht="51" x14ac:dyDescent="0.2">
      <c r="A1039" s="268"/>
      <c r="B1039" s="278"/>
      <c r="C1039" s="42" t="s">
        <v>873</v>
      </c>
      <c r="D1039" s="149" t="s">
        <v>302</v>
      </c>
      <c r="E1039" s="46" t="s">
        <v>303</v>
      </c>
      <c r="F1039" s="63">
        <v>2170.6</v>
      </c>
      <c r="G1039" s="60">
        <v>0</v>
      </c>
      <c r="H1039" s="60">
        <v>0</v>
      </c>
      <c r="I1039" s="60">
        <v>0</v>
      </c>
      <c r="J1039" s="60">
        <v>0</v>
      </c>
      <c r="K1039" s="10"/>
    </row>
    <row r="1040" spans="1:11" ht="25.5" x14ac:dyDescent="0.2">
      <c r="A1040" s="268" t="s">
        <v>1707</v>
      </c>
      <c r="B1040" s="278" t="s">
        <v>890</v>
      </c>
      <c r="C1040" s="42" t="s">
        <v>891</v>
      </c>
      <c r="D1040" s="135" t="s">
        <v>892</v>
      </c>
      <c r="E1040" s="135" t="s">
        <v>868</v>
      </c>
      <c r="F1040" s="49">
        <v>136</v>
      </c>
      <c r="G1040" s="60">
        <v>138</v>
      </c>
      <c r="H1040" s="60">
        <v>140</v>
      </c>
      <c r="I1040" s="76">
        <v>150</v>
      </c>
      <c r="J1040" s="76">
        <v>150</v>
      </c>
      <c r="K1040" s="10"/>
    </row>
    <row r="1041" spans="1:11" ht="51" x14ac:dyDescent="0.2">
      <c r="A1041" s="268"/>
      <c r="B1041" s="278"/>
      <c r="C1041" s="42" t="s">
        <v>873</v>
      </c>
      <c r="D1041" s="149" t="s">
        <v>302</v>
      </c>
      <c r="E1041" s="46" t="s">
        <v>303</v>
      </c>
      <c r="F1041" s="63">
        <v>147.69999999999999</v>
      </c>
      <c r="G1041" s="61">
        <v>179</v>
      </c>
      <c r="H1041" s="61">
        <v>186.3</v>
      </c>
      <c r="I1041" s="63">
        <v>203.2</v>
      </c>
      <c r="J1041" s="63">
        <v>211.4</v>
      </c>
      <c r="K1041" s="10"/>
    </row>
    <row r="1042" spans="1:11" ht="25.5" x14ac:dyDescent="0.2">
      <c r="A1042" s="268" t="s">
        <v>1708</v>
      </c>
      <c r="B1042" s="278" t="s">
        <v>893</v>
      </c>
      <c r="C1042" s="42" t="s">
        <v>894</v>
      </c>
      <c r="D1042" s="135" t="s">
        <v>895</v>
      </c>
      <c r="E1042" s="135" t="s">
        <v>896</v>
      </c>
      <c r="F1042" s="49">
        <v>7</v>
      </c>
      <c r="G1042" s="60">
        <v>0</v>
      </c>
      <c r="H1042" s="60">
        <v>0</v>
      </c>
      <c r="I1042" s="60">
        <v>0</v>
      </c>
      <c r="J1042" s="60">
        <v>0</v>
      </c>
      <c r="K1042" s="10"/>
    </row>
    <row r="1043" spans="1:11" ht="51" x14ac:dyDescent="0.2">
      <c r="A1043" s="268"/>
      <c r="B1043" s="278"/>
      <c r="C1043" s="42" t="s">
        <v>873</v>
      </c>
      <c r="D1043" s="149" t="s">
        <v>302</v>
      </c>
      <c r="E1043" s="46" t="s">
        <v>303</v>
      </c>
      <c r="F1043" s="63">
        <v>173.5</v>
      </c>
      <c r="G1043" s="61">
        <v>0</v>
      </c>
      <c r="H1043" s="61">
        <v>0</v>
      </c>
      <c r="I1043" s="61">
        <v>0</v>
      </c>
      <c r="J1043" s="61">
        <v>0</v>
      </c>
      <c r="K1043" s="10"/>
    </row>
    <row r="1044" spans="1:11" ht="25.5" x14ac:dyDescent="0.2">
      <c r="A1044" s="268" t="s">
        <v>1709</v>
      </c>
      <c r="B1044" s="278" t="s">
        <v>897</v>
      </c>
      <c r="C1044" s="42" t="s">
        <v>898</v>
      </c>
      <c r="D1044" s="135" t="s">
        <v>899</v>
      </c>
      <c r="E1044" s="135" t="s">
        <v>868</v>
      </c>
      <c r="F1044" s="49">
        <v>824</v>
      </c>
      <c r="G1044" s="60">
        <v>0</v>
      </c>
      <c r="H1044" s="60">
        <v>0</v>
      </c>
      <c r="I1044" s="60">
        <v>0</v>
      </c>
      <c r="J1044" s="60">
        <v>0</v>
      </c>
      <c r="K1044" s="10"/>
    </row>
    <row r="1045" spans="1:11" ht="51" x14ac:dyDescent="0.2">
      <c r="A1045" s="268"/>
      <c r="B1045" s="278"/>
      <c r="C1045" s="42" t="s">
        <v>873</v>
      </c>
      <c r="D1045" s="149" t="s">
        <v>302</v>
      </c>
      <c r="E1045" s="46" t="s">
        <v>303</v>
      </c>
      <c r="F1045" s="63">
        <v>723.2</v>
      </c>
      <c r="G1045" s="61">
        <v>0</v>
      </c>
      <c r="H1045" s="61">
        <v>0</v>
      </c>
      <c r="I1045" s="61">
        <v>0</v>
      </c>
      <c r="J1045" s="61">
        <v>0</v>
      </c>
      <c r="K1045" s="10"/>
    </row>
    <row r="1046" spans="1:11" ht="25.5" x14ac:dyDescent="0.2">
      <c r="A1046" s="268" t="s">
        <v>1710</v>
      </c>
      <c r="B1046" s="278" t="s">
        <v>900</v>
      </c>
      <c r="C1046" s="42" t="s">
        <v>901</v>
      </c>
      <c r="D1046" s="135" t="s">
        <v>902</v>
      </c>
      <c r="E1046" s="135" t="s">
        <v>868</v>
      </c>
      <c r="F1046" s="63">
        <v>0</v>
      </c>
      <c r="G1046" s="61">
        <v>1000</v>
      </c>
      <c r="H1046" s="61">
        <v>520</v>
      </c>
      <c r="I1046" s="63">
        <v>550</v>
      </c>
      <c r="J1046" s="63">
        <v>550</v>
      </c>
      <c r="K1046" s="10"/>
    </row>
    <row r="1047" spans="1:11" ht="51" x14ac:dyDescent="0.2">
      <c r="A1047" s="268"/>
      <c r="B1047" s="278"/>
      <c r="C1047" s="42" t="s">
        <v>873</v>
      </c>
      <c r="D1047" s="149" t="s">
        <v>302</v>
      </c>
      <c r="E1047" s="46" t="s">
        <v>303</v>
      </c>
      <c r="F1047" s="63">
        <v>0</v>
      </c>
      <c r="G1047" s="61">
        <v>1041.5999999999999</v>
      </c>
      <c r="H1047" s="61">
        <v>555.70000000000005</v>
      </c>
      <c r="I1047" s="63">
        <v>598.4</v>
      </c>
      <c r="J1047" s="63">
        <v>622.29999999999995</v>
      </c>
      <c r="K1047" s="10"/>
    </row>
    <row r="1048" spans="1:11" ht="25.5" x14ac:dyDescent="0.2">
      <c r="A1048" s="268" t="s">
        <v>1711</v>
      </c>
      <c r="B1048" s="278" t="s">
        <v>903</v>
      </c>
      <c r="C1048" s="42" t="s">
        <v>904</v>
      </c>
      <c r="D1048" s="135" t="s">
        <v>565</v>
      </c>
      <c r="E1048" s="135" t="s">
        <v>868</v>
      </c>
      <c r="F1048" s="49">
        <v>1</v>
      </c>
      <c r="G1048" s="60">
        <v>0</v>
      </c>
      <c r="H1048" s="60">
        <v>1</v>
      </c>
      <c r="I1048" s="76">
        <v>1</v>
      </c>
      <c r="J1048" s="76">
        <v>1</v>
      </c>
      <c r="K1048" s="10"/>
    </row>
    <row r="1049" spans="1:11" ht="51" x14ac:dyDescent="0.2">
      <c r="A1049" s="268"/>
      <c r="B1049" s="278"/>
      <c r="C1049" s="42" t="s">
        <v>873</v>
      </c>
      <c r="D1049" s="149" t="s">
        <v>302</v>
      </c>
      <c r="E1049" s="46" t="s">
        <v>303</v>
      </c>
      <c r="F1049" s="63">
        <v>68.3</v>
      </c>
      <c r="G1049" s="61">
        <v>0</v>
      </c>
      <c r="H1049" s="63">
        <v>147.6</v>
      </c>
      <c r="I1049" s="63">
        <v>150.30000000000001</v>
      </c>
      <c r="J1049" s="63">
        <v>156.30000000000001</v>
      </c>
      <c r="K1049" s="10"/>
    </row>
    <row r="1050" spans="1:11" x14ac:dyDescent="0.2">
      <c r="A1050" s="268" t="s">
        <v>1712</v>
      </c>
      <c r="B1050" s="278" t="s">
        <v>905</v>
      </c>
      <c r="C1050" s="42" t="s">
        <v>906</v>
      </c>
      <c r="D1050" s="135" t="s">
        <v>907</v>
      </c>
      <c r="E1050" s="135" t="s">
        <v>868</v>
      </c>
      <c r="F1050" s="49">
        <v>19</v>
      </c>
      <c r="G1050" s="60">
        <v>0</v>
      </c>
      <c r="H1050" s="60">
        <v>0</v>
      </c>
      <c r="I1050" s="60">
        <v>0</v>
      </c>
      <c r="J1050" s="60">
        <v>0</v>
      </c>
      <c r="K1050" s="10"/>
    </row>
    <row r="1051" spans="1:11" ht="51" x14ac:dyDescent="0.2">
      <c r="A1051" s="268"/>
      <c r="B1051" s="278"/>
      <c r="C1051" s="42" t="s">
        <v>873</v>
      </c>
      <c r="D1051" s="149" t="s">
        <v>302</v>
      </c>
      <c r="E1051" s="46" t="s">
        <v>303</v>
      </c>
      <c r="F1051" s="63">
        <v>72.7</v>
      </c>
      <c r="G1051" s="61">
        <v>0</v>
      </c>
      <c r="H1051" s="61">
        <v>0</v>
      </c>
      <c r="I1051" s="61">
        <v>0</v>
      </c>
      <c r="J1051" s="61">
        <v>0</v>
      </c>
      <c r="K1051" s="10"/>
    </row>
    <row r="1052" spans="1:11" x14ac:dyDescent="0.2">
      <c r="A1052" s="268" t="s">
        <v>1713</v>
      </c>
      <c r="B1052" s="278" t="s">
        <v>908</v>
      </c>
      <c r="C1052" s="42" t="s">
        <v>909</v>
      </c>
      <c r="D1052" s="135" t="s">
        <v>907</v>
      </c>
      <c r="E1052" s="135" t="s">
        <v>868</v>
      </c>
      <c r="F1052" s="49">
        <v>12</v>
      </c>
      <c r="G1052" s="60">
        <v>0</v>
      </c>
      <c r="H1052" s="60">
        <v>0</v>
      </c>
      <c r="I1052" s="60">
        <v>0</v>
      </c>
      <c r="J1052" s="60">
        <v>0</v>
      </c>
      <c r="K1052" s="10"/>
    </row>
    <row r="1053" spans="1:11" ht="51" x14ac:dyDescent="0.2">
      <c r="A1053" s="268"/>
      <c r="B1053" s="278"/>
      <c r="C1053" s="42" t="s">
        <v>873</v>
      </c>
      <c r="D1053" s="149" t="s">
        <v>302</v>
      </c>
      <c r="E1053" s="46" t="s">
        <v>303</v>
      </c>
      <c r="F1053" s="63">
        <v>112.6</v>
      </c>
      <c r="G1053" s="61">
        <v>0</v>
      </c>
      <c r="H1053" s="61">
        <v>0</v>
      </c>
      <c r="I1053" s="61">
        <v>0</v>
      </c>
      <c r="J1053" s="61">
        <v>0</v>
      </c>
      <c r="K1053" s="10"/>
    </row>
    <row r="1054" spans="1:11" x14ac:dyDescent="0.2">
      <c r="A1054" s="268" t="s">
        <v>1714</v>
      </c>
      <c r="B1054" s="278" t="s">
        <v>910</v>
      </c>
      <c r="C1054" s="42" t="s">
        <v>911</v>
      </c>
      <c r="D1054" s="135" t="s">
        <v>907</v>
      </c>
      <c r="E1054" s="135" t="s">
        <v>868</v>
      </c>
      <c r="F1054" s="49">
        <v>27</v>
      </c>
      <c r="G1054" s="60">
        <v>0</v>
      </c>
      <c r="H1054" s="60">
        <v>0</v>
      </c>
      <c r="I1054" s="60">
        <v>0</v>
      </c>
      <c r="J1054" s="60">
        <v>0</v>
      </c>
      <c r="K1054" s="10"/>
    </row>
    <row r="1055" spans="1:11" ht="51" x14ac:dyDescent="0.2">
      <c r="A1055" s="268"/>
      <c r="B1055" s="278"/>
      <c r="C1055" s="42" t="s">
        <v>873</v>
      </c>
      <c r="D1055" s="149" t="s">
        <v>302</v>
      </c>
      <c r="E1055" s="46" t="s">
        <v>303</v>
      </c>
      <c r="F1055" s="63">
        <v>410.1</v>
      </c>
      <c r="G1055" s="61">
        <v>0</v>
      </c>
      <c r="H1055" s="61">
        <v>0</v>
      </c>
      <c r="I1055" s="61">
        <v>0</v>
      </c>
      <c r="J1055" s="61">
        <v>0</v>
      </c>
      <c r="K1055" s="10"/>
    </row>
    <row r="1056" spans="1:11" x14ac:dyDescent="0.2">
      <c r="A1056" s="268" t="s">
        <v>1715</v>
      </c>
      <c r="B1056" s="278" t="s">
        <v>912</v>
      </c>
      <c r="C1056" s="42" t="s">
        <v>913</v>
      </c>
      <c r="D1056" s="135" t="s">
        <v>907</v>
      </c>
      <c r="E1056" s="135" t="s">
        <v>868</v>
      </c>
      <c r="F1056" s="49">
        <v>5</v>
      </c>
      <c r="G1056" s="60">
        <v>0</v>
      </c>
      <c r="H1056" s="61">
        <v>0</v>
      </c>
      <c r="I1056" s="61">
        <v>0</v>
      </c>
      <c r="J1056" s="61">
        <v>0</v>
      </c>
      <c r="K1056" s="10"/>
    </row>
    <row r="1057" spans="1:11" ht="51" x14ac:dyDescent="0.2">
      <c r="A1057" s="268"/>
      <c r="B1057" s="278"/>
      <c r="C1057" s="42" t="s">
        <v>873</v>
      </c>
      <c r="D1057" s="149" t="s">
        <v>302</v>
      </c>
      <c r="E1057" s="46" t="s">
        <v>303</v>
      </c>
      <c r="F1057" s="63">
        <v>272.7</v>
      </c>
      <c r="G1057" s="61">
        <v>0</v>
      </c>
      <c r="H1057" s="61">
        <v>0</v>
      </c>
      <c r="I1057" s="61">
        <v>0</v>
      </c>
      <c r="J1057" s="61">
        <v>0</v>
      </c>
      <c r="K1057" s="10"/>
    </row>
    <row r="1058" spans="1:11" x14ac:dyDescent="0.2">
      <c r="A1058" s="268" t="s">
        <v>1716</v>
      </c>
      <c r="B1058" s="278" t="s">
        <v>914</v>
      </c>
      <c r="C1058" s="42" t="s">
        <v>915</v>
      </c>
      <c r="D1058" s="135" t="s">
        <v>907</v>
      </c>
      <c r="E1058" s="135" t="s">
        <v>868</v>
      </c>
      <c r="F1058" s="49">
        <v>19</v>
      </c>
      <c r="G1058" s="60">
        <v>0</v>
      </c>
      <c r="H1058" s="61">
        <v>0</v>
      </c>
      <c r="I1058" s="61">
        <v>0</v>
      </c>
      <c r="J1058" s="61">
        <v>0</v>
      </c>
      <c r="K1058" s="10"/>
    </row>
    <row r="1059" spans="1:11" ht="51" x14ac:dyDescent="0.2">
      <c r="A1059" s="268"/>
      <c r="B1059" s="278"/>
      <c r="C1059" s="42" t="s">
        <v>873</v>
      </c>
      <c r="D1059" s="149" t="s">
        <v>302</v>
      </c>
      <c r="E1059" s="46" t="s">
        <v>303</v>
      </c>
      <c r="F1059" s="63">
        <v>87.4</v>
      </c>
      <c r="G1059" s="61">
        <v>0</v>
      </c>
      <c r="H1059" s="61">
        <v>0</v>
      </c>
      <c r="I1059" s="61">
        <v>0</v>
      </c>
      <c r="J1059" s="61">
        <v>0</v>
      </c>
      <c r="K1059" s="10"/>
    </row>
    <row r="1060" spans="1:11" x14ac:dyDescent="0.2">
      <c r="A1060" s="268" t="s">
        <v>1717</v>
      </c>
      <c r="B1060" s="278" t="s">
        <v>916</v>
      </c>
      <c r="C1060" s="42" t="s">
        <v>917</v>
      </c>
      <c r="D1060" s="135" t="s">
        <v>907</v>
      </c>
      <c r="E1060" s="135" t="s">
        <v>868</v>
      </c>
      <c r="F1060" s="49">
        <v>4</v>
      </c>
      <c r="G1060" s="60">
        <v>0</v>
      </c>
      <c r="H1060" s="61">
        <v>0</v>
      </c>
      <c r="I1060" s="61">
        <v>0</v>
      </c>
      <c r="J1060" s="61">
        <v>0</v>
      </c>
      <c r="K1060" s="10"/>
    </row>
    <row r="1061" spans="1:11" ht="51" x14ac:dyDescent="0.2">
      <c r="A1061" s="268"/>
      <c r="B1061" s="278"/>
      <c r="C1061" s="42" t="s">
        <v>873</v>
      </c>
      <c r="D1061" s="149" t="s">
        <v>302</v>
      </c>
      <c r="E1061" s="46" t="s">
        <v>303</v>
      </c>
      <c r="F1061" s="63">
        <v>40.700000000000003</v>
      </c>
      <c r="G1061" s="61">
        <v>0</v>
      </c>
      <c r="H1061" s="61">
        <v>0</v>
      </c>
      <c r="I1061" s="61">
        <v>0</v>
      </c>
      <c r="J1061" s="61">
        <v>0</v>
      </c>
      <c r="K1061" s="10"/>
    </row>
    <row r="1062" spans="1:11" ht="25.5" x14ac:dyDescent="0.2">
      <c r="A1062" s="268" t="s">
        <v>1718</v>
      </c>
      <c r="B1062" s="278" t="s">
        <v>918</v>
      </c>
      <c r="C1062" s="42" t="s">
        <v>919</v>
      </c>
      <c r="D1062" s="135" t="s">
        <v>899</v>
      </c>
      <c r="E1062" s="135" t="s">
        <v>868</v>
      </c>
      <c r="F1062" s="49">
        <v>1</v>
      </c>
      <c r="G1062" s="60">
        <v>0</v>
      </c>
      <c r="H1062" s="61">
        <v>0</v>
      </c>
      <c r="I1062" s="61">
        <v>0</v>
      </c>
      <c r="J1062" s="61">
        <v>0</v>
      </c>
      <c r="K1062" s="10"/>
    </row>
    <row r="1063" spans="1:11" ht="51" x14ac:dyDescent="0.2">
      <c r="A1063" s="268"/>
      <c r="B1063" s="278"/>
      <c r="C1063" s="42" t="s">
        <v>873</v>
      </c>
      <c r="D1063" s="149" t="s">
        <v>302</v>
      </c>
      <c r="E1063" s="46" t="s">
        <v>303</v>
      </c>
      <c r="F1063" s="63">
        <v>527.5</v>
      </c>
      <c r="G1063" s="61">
        <v>0</v>
      </c>
      <c r="H1063" s="61">
        <v>0</v>
      </c>
      <c r="I1063" s="61">
        <v>0</v>
      </c>
      <c r="J1063" s="61">
        <v>0</v>
      </c>
      <c r="K1063" s="10"/>
    </row>
    <row r="1064" spans="1:11" ht="25.5" x14ac:dyDescent="0.2">
      <c r="A1064" s="268" t="s">
        <v>1719</v>
      </c>
      <c r="B1064" s="278" t="s">
        <v>920</v>
      </c>
      <c r="C1064" s="42" t="s">
        <v>921</v>
      </c>
      <c r="D1064" s="135" t="s">
        <v>922</v>
      </c>
      <c r="E1064" s="135" t="s">
        <v>868</v>
      </c>
      <c r="F1064" s="49">
        <v>24</v>
      </c>
      <c r="G1064" s="60">
        <v>24</v>
      </c>
      <c r="H1064" s="61">
        <v>0</v>
      </c>
      <c r="I1064" s="61">
        <v>0</v>
      </c>
      <c r="J1064" s="61">
        <v>0</v>
      </c>
      <c r="K1064" s="10"/>
    </row>
    <row r="1065" spans="1:11" ht="51" x14ac:dyDescent="0.2">
      <c r="A1065" s="268"/>
      <c r="B1065" s="278"/>
      <c r="C1065" s="42" t="s">
        <v>873</v>
      </c>
      <c r="D1065" s="149" t="s">
        <v>302</v>
      </c>
      <c r="E1065" s="46" t="s">
        <v>303</v>
      </c>
      <c r="F1065" s="63">
        <v>41.5</v>
      </c>
      <c r="G1065" s="61">
        <v>42.6</v>
      </c>
      <c r="H1065" s="61">
        <v>0</v>
      </c>
      <c r="I1065" s="61">
        <v>0</v>
      </c>
      <c r="J1065" s="61">
        <v>0</v>
      </c>
      <c r="K1065" s="10"/>
    </row>
    <row r="1066" spans="1:11" ht="25.5" x14ac:dyDescent="0.2">
      <c r="A1066" s="268" t="s">
        <v>1720</v>
      </c>
      <c r="B1066" s="278" t="s">
        <v>923</v>
      </c>
      <c r="C1066" s="42" t="s">
        <v>924</v>
      </c>
      <c r="D1066" s="135" t="s">
        <v>922</v>
      </c>
      <c r="E1066" s="135" t="s">
        <v>868</v>
      </c>
      <c r="F1066" s="49">
        <v>97</v>
      </c>
      <c r="G1066" s="60">
        <v>97</v>
      </c>
      <c r="H1066" s="63">
        <v>109</v>
      </c>
      <c r="I1066" s="63">
        <v>109</v>
      </c>
      <c r="J1066" s="63">
        <v>109</v>
      </c>
      <c r="K1066" s="10"/>
    </row>
    <row r="1067" spans="1:11" ht="51" x14ac:dyDescent="0.2">
      <c r="A1067" s="268"/>
      <c r="B1067" s="278"/>
      <c r="C1067" s="42" t="s">
        <v>873</v>
      </c>
      <c r="D1067" s="149" t="s">
        <v>302</v>
      </c>
      <c r="E1067" s="46" t="s">
        <v>303</v>
      </c>
      <c r="F1067" s="63">
        <v>598</v>
      </c>
      <c r="G1067" s="61">
        <v>616.4</v>
      </c>
      <c r="H1067" s="63">
        <v>710.7</v>
      </c>
      <c r="I1067" s="63">
        <v>723.5</v>
      </c>
      <c r="J1067" s="63">
        <v>752.4</v>
      </c>
      <c r="K1067" s="10"/>
    </row>
    <row r="1068" spans="1:11" ht="25.5" x14ac:dyDescent="0.2">
      <c r="A1068" s="268" t="s">
        <v>1721</v>
      </c>
      <c r="B1068" s="278" t="s">
        <v>925</v>
      </c>
      <c r="C1068" s="42" t="s">
        <v>926</v>
      </c>
      <c r="D1068" s="135" t="s">
        <v>927</v>
      </c>
      <c r="E1068" s="135" t="s">
        <v>868</v>
      </c>
      <c r="F1068" s="49">
        <v>4</v>
      </c>
      <c r="G1068" s="60">
        <v>4</v>
      </c>
      <c r="H1068" s="60">
        <v>4</v>
      </c>
      <c r="I1068" s="60">
        <v>4</v>
      </c>
      <c r="J1068" s="60">
        <v>4</v>
      </c>
      <c r="K1068" s="10"/>
    </row>
    <row r="1069" spans="1:11" ht="51" x14ac:dyDescent="0.2">
      <c r="A1069" s="268"/>
      <c r="B1069" s="278"/>
      <c r="C1069" s="42" t="s">
        <v>873</v>
      </c>
      <c r="D1069" s="149" t="s">
        <v>302</v>
      </c>
      <c r="E1069" s="46" t="s">
        <v>303</v>
      </c>
      <c r="F1069" s="63">
        <v>945</v>
      </c>
      <c r="G1069" s="61">
        <v>947.8</v>
      </c>
      <c r="H1069" s="63">
        <v>972.5</v>
      </c>
      <c r="I1069" s="63">
        <v>990.1</v>
      </c>
      <c r="J1069" s="63">
        <v>1029.5999999999999</v>
      </c>
      <c r="K1069" s="10"/>
    </row>
    <row r="1070" spans="1:11" x14ac:dyDescent="0.2">
      <c r="A1070" s="268" t="s">
        <v>1722</v>
      </c>
      <c r="B1070" s="278" t="s">
        <v>928</v>
      </c>
      <c r="C1070" s="42" t="s">
        <v>929</v>
      </c>
      <c r="D1070" s="135" t="s">
        <v>930</v>
      </c>
      <c r="E1070" s="135" t="s">
        <v>868</v>
      </c>
      <c r="F1070" s="49">
        <v>48</v>
      </c>
      <c r="G1070" s="60">
        <v>48</v>
      </c>
      <c r="H1070" s="60">
        <v>48</v>
      </c>
      <c r="I1070" s="60">
        <v>48</v>
      </c>
      <c r="J1070" s="60">
        <v>48</v>
      </c>
      <c r="K1070" s="10"/>
    </row>
    <row r="1071" spans="1:11" ht="51" x14ac:dyDescent="0.2">
      <c r="A1071" s="268"/>
      <c r="B1071" s="278"/>
      <c r="C1071" s="42" t="s">
        <v>873</v>
      </c>
      <c r="D1071" s="149" t="s">
        <v>302</v>
      </c>
      <c r="E1071" s="46" t="s">
        <v>303</v>
      </c>
      <c r="F1071" s="62">
        <v>1135.5</v>
      </c>
      <c r="G1071" s="61">
        <v>139</v>
      </c>
      <c r="H1071" s="63">
        <v>142.6</v>
      </c>
      <c r="I1071" s="63">
        <v>145.19999999999999</v>
      </c>
      <c r="J1071" s="63">
        <v>151</v>
      </c>
      <c r="K1071" s="10"/>
    </row>
    <row r="1072" spans="1:11" ht="25.5" x14ac:dyDescent="0.2">
      <c r="A1072" s="268" t="s">
        <v>1723</v>
      </c>
      <c r="B1072" s="278" t="s">
        <v>931</v>
      </c>
      <c r="C1072" s="42" t="s">
        <v>932</v>
      </c>
      <c r="D1072" s="135" t="s">
        <v>927</v>
      </c>
      <c r="E1072" s="135" t="s">
        <v>868</v>
      </c>
      <c r="F1072" s="49">
        <v>1</v>
      </c>
      <c r="G1072" s="60">
        <v>0</v>
      </c>
      <c r="H1072" s="60">
        <v>0</v>
      </c>
      <c r="I1072" s="60">
        <v>0</v>
      </c>
      <c r="J1072" s="60">
        <v>0</v>
      </c>
      <c r="K1072" s="10"/>
    </row>
    <row r="1073" spans="1:11" ht="51" x14ac:dyDescent="0.2">
      <c r="A1073" s="268"/>
      <c r="B1073" s="278"/>
      <c r="C1073" s="42" t="s">
        <v>873</v>
      </c>
      <c r="D1073" s="149" t="s">
        <v>302</v>
      </c>
      <c r="E1073" s="46" t="s">
        <v>303</v>
      </c>
      <c r="F1073" s="63">
        <v>70.099999999999994</v>
      </c>
      <c r="G1073" s="61">
        <v>0</v>
      </c>
      <c r="H1073" s="61">
        <v>0</v>
      </c>
      <c r="I1073" s="61">
        <v>0</v>
      </c>
      <c r="J1073" s="61">
        <v>0</v>
      </c>
      <c r="K1073" s="10"/>
    </row>
    <row r="1074" spans="1:11" ht="25.5" x14ac:dyDescent="0.2">
      <c r="A1074" s="268" t="s">
        <v>1724</v>
      </c>
      <c r="B1074" s="264" t="s">
        <v>933</v>
      </c>
      <c r="C1074" s="42" t="s">
        <v>934</v>
      </c>
      <c r="D1074" s="135" t="s">
        <v>927</v>
      </c>
      <c r="E1074" s="135" t="s">
        <v>868</v>
      </c>
      <c r="F1074" s="63">
        <v>0</v>
      </c>
      <c r="G1074" s="61">
        <v>19</v>
      </c>
      <c r="H1074" s="63">
        <v>21</v>
      </c>
      <c r="I1074" s="63">
        <v>21</v>
      </c>
      <c r="J1074" s="63">
        <v>21</v>
      </c>
      <c r="K1074" s="10"/>
    </row>
    <row r="1075" spans="1:11" ht="51" x14ac:dyDescent="0.2">
      <c r="A1075" s="268"/>
      <c r="B1075" s="264"/>
      <c r="C1075" s="42" t="s">
        <v>873</v>
      </c>
      <c r="D1075" s="149" t="s">
        <v>302</v>
      </c>
      <c r="E1075" s="46" t="s">
        <v>303</v>
      </c>
      <c r="F1075" s="63">
        <v>0</v>
      </c>
      <c r="G1075" s="61">
        <v>283.8</v>
      </c>
      <c r="H1075" s="63">
        <v>321.8</v>
      </c>
      <c r="I1075" s="63">
        <v>327.60000000000002</v>
      </c>
      <c r="J1075" s="63">
        <v>340.7</v>
      </c>
      <c r="K1075" s="10"/>
    </row>
    <row r="1076" spans="1:11" ht="25.5" x14ac:dyDescent="0.2">
      <c r="A1076" s="268" t="s">
        <v>1725</v>
      </c>
      <c r="B1076" s="264" t="s">
        <v>935</v>
      </c>
      <c r="C1076" s="42" t="s">
        <v>936</v>
      </c>
      <c r="D1076" s="135" t="s">
        <v>927</v>
      </c>
      <c r="E1076" s="135" t="s">
        <v>868</v>
      </c>
      <c r="F1076" s="63">
        <v>0</v>
      </c>
      <c r="G1076" s="61">
        <v>2</v>
      </c>
      <c r="H1076" s="63">
        <v>1</v>
      </c>
      <c r="I1076" s="63">
        <v>1</v>
      </c>
      <c r="J1076" s="63">
        <v>1</v>
      </c>
      <c r="K1076" s="10"/>
    </row>
    <row r="1077" spans="1:11" ht="51" x14ac:dyDescent="0.2">
      <c r="A1077" s="268"/>
      <c r="B1077" s="264"/>
      <c r="C1077" s="42" t="s">
        <v>873</v>
      </c>
      <c r="D1077" s="149" t="s">
        <v>302</v>
      </c>
      <c r="E1077" s="46" t="s">
        <v>303</v>
      </c>
      <c r="F1077" s="63">
        <v>0</v>
      </c>
      <c r="G1077" s="61">
        <v>68.5</v>
      </c>
      <c r="H1077" s="63">
        <v>35.200000000000003</v>
      </c>
      <c r="I1077" s="63">
        <v>35.799999999999997</v>
      </c>
      <c r="J1077" s="63">
        <v>37.200000000000003</v>
      </c>
      <c r="K1077" s="10"/>
    </row>
    <row r="1078" spans="1:11" ht="25.5" x14ac:dyDescent="0.2">
      <c r="A1078" s="268" t="s">
        <v>1726</v>
      </c>
      <c r="B1078" s="278" t="s">
        <v>937</v>
      </c>
      <c r="C1078" s="42" t="s">
        <v>938</v>
      </c>
      <c r="D1078" s="135" t="s">
        <v>927</v>
      </c>
      <c r="E1078" s="135" t="s">
        <v>868</v>
      </c>
      <c r="F1078" s="63">
        <v>0</v>
      </c>
      <c r="G1078" s="61">
        <v>27</v>
      </c>
      <c r="H1078" s="63">
        <v>21</v>
      </c>
      <c r="I1078" s="63">
        <v>21</v>
      </c>
      <c r="J1078" s="63">
        <v>21</v>
      </c>
      <c r="K1078" s="10"/>
    </row>
    <row r="1079" spans="1:11" ht="51" x14ac:dyDescent="0.2">
      <c r="A1079" s="268"/>
      <c r="B1079" s="278"/>
      <c r="C1079" s="42" t="s">
        <v>873</v>
      </c>
      <c r="D1079" s="149" t="s">
        <v>302</v>
      </c>
      <c r="E1079" s="46" t="s">
        <v>303</v>
      </c>
      <c r="F1079" s="63">
        <v>0</v>
      </c>
      <c r="G1079" s="61">
        <v>560.5</v>
      </c>
      <c r="H1079" s="63">
        <v>447.3</v>
      </c>
      <c r="I1079" s="63">
        <v>455.3</v>
      </c>
      <c r="J1079" s="63">
        <v>473.5</v>
      </c>
      <c r="K1079" s="10"/>
    </row>
    <row r="1080" spans="1:11" ht="25.5" x14ac:dyDescent="0.2">
      <c r="A1080" s="268" t="s">
        <v>1727</v>
      </c>
      <c r="B1080" s="278" t="s">
        <v>939</v>
      </c>
      <c r="C1080" s="42" t="s">
        <v>940</v>
      </c>
      <c r="D1080" s="135" t="s">
        <v>927</v>
      </c>
      <c r="E1080" s="135" t="s">
        <v>868</v>
      </c>
      <c r="F1080" s="63">
        <v>0</v>
      </c>
      <c r="G1080" s="61">
        <v>5</v>
      </c>
      <c r="H1080" s="63">
        <v>5</v>
      </c>
      <c r="I1080" s="63">
        <v>5</v>
      </c>
      <c r="J1080" s="63">
        <v>5</v>
      </c>
      <c r="K1080" s="10"/>
    </row>
    <row r="1081" spans="1:11" ht="51" x14ac:dyDescent="0.2">
      <c r="A1081" s="268"/>
      <c r="B1081" s="278"/>
      <c r="C1081" s="42" t="s">
        <v>873</v>
      </c>
      <c r="D1081" s="149" t="s">
        <v>302</v>
      </c>
      <c r="E1081" s="46" t="s">
        <v>303</v>
      </c>
      <c r="F1081" s="63">
        <v>0</v>
      </c>
      <c r="G1081" s="61">
        <v>59.3</v>
      </c>
      <c r="H1081" s="63">
        <v>60.9</v>
      </c>
      <c r="I1081" s="63">
        <v>61.9</v>
      </c>
      <c r="J1081" s="63">
        <v>64.400000000000006</v>
      </c>
      <c r="K1081" s="10"/>
    </row>
    <row r="1082" spans="1:11" ht="25.5" x14ac:dyDescent="0.2">
      <c r="A1082" s="268" t="s">
        <v>1728</v>
      </c>
      <c r="B1082" s="278" t="s">
        <v>941</v>
      </c>
      <c r="C1082" s="42" t="s">
        <v>942</v>
      </c>
      <c r="D1082" s="135" t="s">
        <v>927</v>
      </c>
      <c r="E1082" s="135" t="s">
        <v>868</v>
      </c>
      <c r="F1082" s="63">
        <v>0</v>
      </c>
      <c r="G1082" s="61">
        <v>1</v>
      </c>
      <c r="H1082" s="63">
        <v>1</v>
      </c>
      <c r="I1082" s="63">
        <v>1</v>
      </c>
      <c r="J1082" s="63">
        <v>1</v>
      </c>
      <c r="K1082" s="10"/>
    </row>
    <row r="1083" spans="1:11" ht="51" x14ac:dyDescent="0.2">
      <c r="A1083" s="268"/>
      <c r="B1083" s="278"/>
      <c r="C1083" s="42" t="s">
        <v>873</v>
      </c>
      <c r="D1083" s="149" t="s">
        <v>302</v>
      </c>
      <c r="E1083" s="46" t="s">
        <v>303</v>
      </c>
      <c r="F1083" s="63">
        <v>0</v>
      </c>
      <c r="G1083" s="61">
        <v>22.2</v>
      </c>
      <c r="H1083" s="63">
        <v>22.8</v>
      </c>
      <c r="I1083" s="63">
        <v>23.2</v>
      </c>
      <c r="J1083" s="63">
        <v>24.1</v>
      </c>
      <c r="K1083" s="10"/>
    </row>
    <row r="1084" spans="1:11" ht="25.5" x14ac:dyDescent="0.2">
      <c r="A1084" s="268" t="s">
        <v>1729</v>
      </c>
      <c r="B1084" s="278" t="s">
        <v>943</v>
      </c>
      <c r="C1084" s="42" t="s">
        <v>944</v>
      </c>
      <c r="D1084" s="135" t="s">
        <v>945</v>
      </c>
      <c r="E1084" s="135" t="s">
        <v>868</v>
      </c>
      <c r="F1084" s="63">
        <v>0</v>
      </c>
      <c r="G1084" s="61">
        <v>9</v>
      </c>
      <c r="H1084" s="63">
        <v>0</v>
      </c>
      <c r="I1084" s="63">
        <v>0</v>
      </c>
      <c r="J1084" s="63">
        <v>0</v>
      </c>
      <c r="K1084" s="10"/>
    </row>
    <row r="1085" spans="1:11" ht="51" x14ac:dyDescent="0.2">
      <c r="A1085" s="268"/>
      <c r="B1085" s="278"/>
      <c r="C1085" s="42" t="s">
        <v>873</v>
      </c>
      <c r="D1085" s="149" t="s">
        <v>302</v>
      </c>
      <c r="E1085" s="46" t="s">
        <v>303</v>
      </c>
      <c r="F1085" s="63">
        <v>0</v>
      </c>
      <c r="G1085" s="61">
        <v>714.9</v>
      </c>
      <c r="H1085" s="63">
        <v>0</v>
      </c>
      <c r="I1085" s="63">
        <v>0</v>
      </c>
      <c r="J1085" s="63">
        <v>0</v>
      </c>
      <c r="K1085" s="10"/>
    </row>
    <row r="1086" spans="1:11" ht="25.5" x14ac:dyDescent="0.2">
      <c r="A1086" s="268" t="s">
        <v>1730</v>
      </c>
      <c r="B1086" s="278" t="s">
        <v>946</v>
      </c>
      <c r="C1086" s="42" t="s">
        <v>947</v>
      </c>
      <c r="D1086" s="135" t="s">
        <v>927</v>
      </c>
      <c r="E1086" s="135" t="s">
        <v>868</v>
      </c>
      <c r="F1086" s="49">
        <v>2</v>
      </c>
      <c r="G1086" s="60">
        <v>5</v>
      </c>
      <c r="H1086" s="60">
        <v>4</v>
      </c>
      <c r="I1086" s="76">
        <v>1</v>
      </c>
      <c r="J1086" s="76">
        <v>1</v>
      </c>
      <c r="K1086" s="10"/>
    </row>
    <row r="1087" spans="1:11" ht="51" x14ac:dyDescent="0.2">
      <c r="A1087" s="268"/>
      <c r="B1087" s="278"/>
      <c r="C1087" s="42" t="s">
        <v>873</v>
      </c>
      <c r="D1087" s="149" t="s">
        <v>302</v>
      </c>
      <c r="E1087" s="46" t="s">
        <v>303</v>
      </c>
      <c r="F1087" s="62">
        <v>234.9</v>
      </c>
      <c r="G1087" s="61">
        <v>587.29999999999995</v>
      </c>
      <c r="H1087" s="63">
        <v>482.1</v>
      </c>
      <c r="I1087" s="63">
        <v>122.7</v>
      </c>
      <c r="J1087" s="63">
        <v>127.6</v>
      </c>
      <c r="K1087" s="10"/>
    </row>
    <row r="1088" spans="1:11" ht="25.5" x14ac:dyDescent="0.2">
      <c r="A1088" s="268" t="s">
        <v>1731</v>
      </c>
      <c r="B1088" s="278" t="s">
        <v>948</v>
      </c>
      <c r="C1088" s="42" t="s">
        <v>949</v>
      </c>
      <c r="D1088" s="135" t="s">
        <v>927</v>
      </c>
      <c r="E1088" s="135" t="s">
        <v>868</v>
      </c>
      <c r="F1088" s="62">
        <v>0</v>
      </c>
      <c r="G1088" s="61">
        <v>5</v>
      </c>
      <c r="H1088" s="60">
        <v>4</v>
      </c>
      <c r="I1088" s="76">
        <v>1</v>
      </c>
      <c r="J1088" s="76">
        <v>1</v>
      </c>
      <c r="K1088" s="10"/>
    </row>
    <row r="1089" spans="1:11" ht="51" x14ac:dyDescent="0.2">
      <c r="A1089" s="268"/>
      <c r="B1089" s="278"/>
      <c r="C1089" s="42" t="s">
        <v>873</v>
      </c>
      <c r="D1089" s="149" t="s">
        <v>302</v>
      </c>
      <c r="E1089" s="46" t="s">
        <v>303</v>
      </c>
      <c r="F1089" s="62">
        <v>0</v>
      </c>
      <c r="G1089" s="61">
        <v>586.70000000000005</v>
      </c>
      <c r="H1089" s="63">
        <v>481.6</v>
      </c>
      <c r="I1089" s="63">
        <v>122.6</v>
      </c>
      <c r="J1089" s="63">
        <v>127.5</v>
      </c>
      <c r="K1089" s="10"/>
    </row>
    <row r="1090" spans="1:11" ht="25.5" x14ac:dyDescent="0.2">
      <c r="A1090" s="268" t="s">
        <v>1732</v>
      </c>
      <c r="B1090" s="278" t="s">
        <v>950</v>
      </c>
      <c r="C1090" s="42" t="s">
        <v>951</v>
      </c>
      <c r="D1090" s="135" t="s">
        <v>952</v>
      </c>
      <c r="E1090" s="135" t="s">
        <v>953</v>
      </c>
      <c r="F1090" s="62">
        <v>0</v>
      </c>
      <c r="G1090" s="61">
        <v>8</v>
      </c>
      <c r="H1090" s="63">
        <v>0</v>
      </c>
      <c r="I1090" s="63">
        <v>0</v>
      </c>
      <c r="J1090" s="63">
        <v>0</v>
      </c>
      <c r="K1090" s="10"/>
    </row>
    <row r="1091" spans="1:11" ht="51" x14ac:dyDescent="0.2">
      <c r="A1091" s="268"/>
      <c r="B1091" s="278"/>
      <c r="C1091" s="42" t="s">
        <v>873</v>
      </c>
      <c r="D1091" s="149" t="s">
        <v>302</v>
      </c>
      <c r="E1091" s="46" t="s">
        <v>303</v>
      </c>
      <c r="F1091" s="62">
        <v>0</v>
      </c>
      <c r="G1091" s="61">
        <v>635.5</v>
      </c>
      <c r="H1091" s="63">
        <v>0</v>
      </c>
      <c r="I1091" s="63">
        <v>0</v>
      </c>
      <c r="J1091" s="63">
        <v>0</v>
      </c>
      <c r="K1091" s="10"/>
    </row>
    <row r="1092" spans="1:11" ht="25.5" x14ac:dyDescent="0.2">
      <c r="A1092" s="268" t="s">
        <v>1733</v>
      </c>
      <c r="B1092" s="279" t="s">
        <v>954</v>
      </c>
      <c r="C1092" s="42" t="s">
        <v>955</v>
      </c>
      <c r="D1092" s="139" t="s">
        <v>945</v>
      </c>
      <c r="E1092" s="139" t="s">
        <v>953</v>
      </c>
      <c r="F1092" s="61">
        <v>0</v>
      </c>
      <c r="G1092" s="61">
        <v>0</v>
      </c>
      <c r="H1092" s="63">
        <f>95+3+8+10</f>
        <v>116</v>
      </c>
      <c r="I1092" s="63">
        <f t="shared" ref="I1092:J1092" si="26">95+3+8+10</f>
        <v>116</v>
      </c>
      <c r="J1092" s="63">
        <f t="shared" si="26"/>
        <v>116</v>
      </c>
      <c r="K1092" s="10"/>
    </row>
    <row r="1093" spans="1:11" ht="51" x14ac:dyDescent="0.2">
      <c r="A1093" s="268"/>
      <c r="B1093" s="279"/>
      <c r="C1093" s="42" t="s">
        <v>873</v>
      </c>
      <c r="D1093" s="149" t="s">
        <v>302</v>
      </c>
      <c r="E1093" s="47" t="s">
        <v>303</v>
      </c>
      <c r="F1093" s="61">
        <v>0</v>
      </c>
      <c r="G1093" s="61">
        <v>0</v>
      </c>
      <c r="H1093" s="63">
        <v>2346.1</v>
      </c>
      <c r="I1093" s="63">
        <v>3077.9</v>
      </c>
      <c r="J1093" s="63">
        <v>3201</v>
      </c>
      <c r="K1093" s="10"/>
    </row>
    <row r="1094" spans="1:11" ht="25.5" x14ac:dyDescent="0.2">
      <c r="A1094" s="268" t="s">
        <v>1734</v>
      </c>
      <c r="B1094" s="278" t="s">
        <v>956</v>
      </c>
      <c r="C1094" s="42" t="s">
        <v>957</v>
      </c>
      <c r="D1094" s="135" t="s">
        <v>927</v>
      </c>
      <c r="E1094" s="135" t="s">
        <v>868</v>
      </c>
      <c r="F1094" s="62">
        <v>0</v>
      </c>
      <c r="G1094" s="61">
        <v>1</v>
      </c>
      <c r="H1094" s="63">
        <v>0</v>
      </c>
      <c r="I1094" s="63">
        <v>0</v>
      </c>
      <c r="J1094" s="63">
        <v>0</v>
      </c>
      <c r="K1094" s="10"/>
    </row>
    <row r="1095" spans="1:11" ht="51" x14ac:dyDescent="0.2">
      <c r="A1095" s="268"/>
      <c r="B1095" s="278"/>
      <c r="C1095" s="42" t="s">
        <v>873</v>
      </c>
      <c r="D1095" s="149" t="s">
        <v>302</v>
      </c>
      <c r="E1095" s="46" t="s">
        <v>303</v>
      </c>
      <c r="F1095" s="62">
        <v>0</v>
      </c>
      <c r="G1095" s="63">
        <v>31.8</v>
      </c>
      <c r="H1095" s="63">
        <v>0</v>
      </c>
      <c r="I1095" s="63">
        <v>0</v>
      </c>
      <c r="J1095" s="63">
        <v>0</v>
      </c>
      <c r="K1095" s="10"/>
    </row>
    <row r="1096" spans="1:11" ht="25.5" x14ac:dyDescent="0.2">
      <c r="A1096" s="268" t="s">
        <v>1735</v>
      </c>
      <c r="B1096" s="279" t="s">
        <v>958</v>
      </c>
      <c r="C1096" s="42" t="s">
        <v>959</v>
      </c>
      <c r="D1096" s="139" t="s">
        <v>927</v>
      </c>
      <c r="E1096" s="139" t="s">
        <v>868</v>
      </c>
      <c r="F1096" s="61">
        <v>0</v>
      </c>
      <c r="G1096" s="63">
        <v>0</v>
      </c>
      <c r="H1096" s="63">
        <v>9</v>
      </c>
      <c r="I1096" s="63">
        <v>9</v>
      </c>
      <c r="J1096" s="63">
        <v>9</v>
      </c>
      <c r="K1096" s="10"/>
    </row>
    <row r="1097" spans="1:11" ht="51" x14ac:dyDescent="0.2">
      <c r="A1097" s="268"/>
      <c r="B1097" s="279"/>
      <c r="C1097" s="42" t="s">
        <v>873</v>
      </c>
      <c r="D1097" s="149" t="s">
        <v>302</v>
      </c>
      <c r="E1097" s="47" t="s">
        <v>303</v>
      </c>
      <c r="F1097" s="61">
        <v>0</v>
      </c>
      <c r="G1097" s="63">
        <v>0</v>
      </c>
      <c r="H1097" s="63">
        <v>191.7</v>
      </c>
      <c r="I1097" s="63">
        <v>195.1</v>
      </c>
      <c r="J1097" s="63">
        <v>202.9</v>
      </c>
      <c r="K1097" s="10"/>
    </row>
    <row r="1098" spans="1:11" ht="25.5" x14ac:dyDescent="0.2">
      <c r="A1098" s="268" t="s">
        <v>1736</v>
      </c>
      <c r="B1098" s="279" t="s">
        <v>960</v>
      </c>
      <c r="C1098" s="42" t="s">
        <v>961</v>
      </c>
      <c r="D1098" s="139" t="s">
        <v>962</v>
      </c>
      <c r="E1098" s="139" t="s">
        <v>868</v>
      </c>
      <c r="F1098" s="61">
        <v>0</v>
      </c>
      <c r="G1098" s="63">
        <v>0</v>
      </c>
      <c r="H1098" s="63">
        <v>4</v>
      </c>
      <c r="I1098" s="63">
        <v>4</v>
      </c>
      <c r="J1098" s="63">
        <v>4</v>
      </c>
      <c r="K1098" s="10"/>
    </row>
    <row r="1099" spans="1:11" ht="51" x14ac:dyDescent="0.2">
      <c r="A1099" s="268"/>
      <c r="B1099" s="279"/>
      <c r="C1099" s="42" t="s">
        <v>873</v>
      </c>
      <c r="D1099" s="149" t="s">
        <v>302</v>
      </c>
      <c r="E1099" s="47" t="s">
        <v>303</v>
      </c>
      <c r="F1099" s="61">
        <v>0</v>
      </c>
      <c r="G1099" s="63">
        <v>0</v>
      </c>
      <c r="H1099" s="63">
        <v>26.1</v>
      </c>
      <c r="I1099" s="63">
        <v>26.5</v>
      </c>
      <c r="J1099" s="63">
        <v>27.6</v>
      </c>
      <c r="K1099" s="10"/>
    </row>
    <row r="1100" spans="1:11" ht="51" x14ac:dyDescent="0.2">
      <c r="A1100" s="268" t="s">
        <v>1737</v>
      </c>
      <c r="B1100" s="278" t="s">
        <v>963</v>
      </c>
      <c r="C1100" s="42" t="s">
        <v>964</v>
      </c>
      <c r="D1100" s="135" t="s">
        <v>965</v>
      </c>
      <c r="E1100" s="135" t="s">
        <v>966</v>
      </c>
      <c r="F1100" s="49">
        <v>2</v>
      </c>
      <c r="G1100" s="60">
        <v>2</v>
      </c>
      <c r="H1100" s="60">
        <v>2</v>
      </c>
      <c r="I1100" s="60">
        <v>2</v>
      </c>
      <c r="J1100" s="60">
        <v>2</v>
      </c>
      <c r="K1100" s="10"/>
    </row>
    <row r="1101" spans="1:11" ht="51" x14ac:dyDescent="0.2">
      <c r="A1101" s="268"/>
      <c r="B1101" s="278"/>
      <c r="C1101" s="42" t="s">
        <v>873</v>
      </c>
      <c r="D1101" s="149" t="s">
        <v>302</v>
      </c>
      <c r="E1101" s="46" t="s">
        <v>303</v>
      </c>
      <c r="F1101" s="62">
        <v>221.5</v>
      </c>
      <c r="G1101" s="61">
        <v>220.6</v>
      </c>
      <c r="H1101" s="61">
        <v>226.5</v>
      </c>
      <c r="I1101" s="63">
        <v>230.4</v>
      </c>
      <c r="J1101" s="63">
        <v>239.7</v>
      </c>
      <c r="K1101" s="10"/>
    </row>
    <row r="1102" spans="1:11" ht="51" x14ac:dyDescent="0.2">
      <c r="A1102" s="268" t="s">
        <v>1738</v>
      </c>
      <c r="B1102" s="278" t="s">
        <v>967</v>
      </c>
      <c r="C1102" s="42" t="s">
        <v>968</v>
      </c>
      <c r="D1102" s="135" t="s">
        <v>969</v>
      </c>
      <c r="E1102" s="135" t="s">
        <v>970</v>
      </c>
      <c r="F1102" s="49">
        <v>600</v>
      </c>
      <c r="G1102" s="60">
        <v>600</v>
      </c>
      <c r="H1102" s="60">
        <v>600</v>
      </c>
      <c r="I1102" s="60">
        <v>600</v>
      </c>
      <c r="J1102" s="60">
        <v>600</v>
      </c>
      <c r="K1102" s="10"/>
    </row>
    <row r="1103" spans="1:11" ht="51" x14ac:dyDescent="0.2">
      <c r="A1103" s="268"/>
      <c r="B1103" s="278"/>
      <c r="C1103" s="42" t="s">
        <v>873</v>
      </c>
      <c r="D1103" s="149" t="s">
        <v>302</v>
      </c>
      <c r="E1103" s="46" t="s">
        <v>303</v>
      </c>
      <c r="F1103" s="62">
        <v>402.1</v>
      </c>
      <c r="G1103" s="61">
        <v>394.6</v>
      </c>
      <c r="H1103" s="61">
        <v>405.2</v>
      </c>
      <c r="I1103" s="63">
        <v>412.3</v>
      </c>
      <c r="J1103" s="63">
        <v>428.8</v>
      </c>
      <c r="K1103" s="10"/>
    </row>
    <row r="1104" spans="1:11" ht="51" x14ac:dyDescent="0.2">
      <c r="A1104" s="268" t="s">
        <v>1739</v>
      </c>
      <c r="B1104" s="278" t="s">
        <v>971</v>
      </c>
      <c r="C1104" s="42" t="s">
        <v>972</v>
      </c>
      <c r="D1104" s="135" t="s">
        <v>973</v>
      </c>
      <c r="E1104" s="135" t="s">
        <v>823</v>
      </c>
      <c r="F1104" s="49">
        <v>82</v>
      </c>
      <c r="G1104" s="60">
        <v>82</v>
      </c>
      <c r="H1104" s="60">
        <v>82</v>
      </c>
      <c r="I1104" s="60">
        <v>82</v>
      </c>
      <c r="J1104" s="60">
        <v>82</v>
      </c>
      <c r="K1104" s="10"/>
    </row>
    <row r="1105" spans="1:11" ht="51" x14ac:dyDescent="0.2">
      <c r="A1105" s="268"/>
      <c r="B1105" s="278"/>
      <c r="C1105" s="42" t="s">
        <v>873</v>
      </c>
      <c r="D1105" s="149" t="s">
        <v>302</v>
      </c>
      <c r="E1105" s="46" t="s">
        <v>303</v>
      </c>
      <c r="F1105" s="62">
        <v>203.1</v>
      </c>
      <c r="G1105" s="61">
        <v>194.2</v>
      </c>
      <c r="H1105" s="61">
        <v>199.4</v>
      </c>
      <c r="I1105" s="63">
        <v>202.8</v>
      </c>
      <c r="J1105" s="63">
        <v>211</v>
      </c>
      <c r="K1105" s="10"/>
    </row>
    <row r="1106" spans="1:11" ht="63.75" x14ac:dyDescent="0.2">
      <c r="A1106" s="268" t="s">
        <v>1740</v>
      </c>
      <c r="B1106" s="278" t="s">
        <v>974</v>
      </c>
      <c r="C1106" s="42" t="s">
        <v>975</v>
      </c>
      <c r="D1106" s="135" t="s">
        <v>976</v>
      </c>
      <c r="E1106" s="135" t="s">
        <v>977</v>
      </c>
      <c r="F1106" s="49">
        <v>1.2</v>
      </c>
      <c r="G1106" s="60">
        <v>1.2</v>
      </c>
      <c r="H1106" s="60">
        <v>1.2</v>
      </c>
      <c r="I1106" s="60">
        <v>1.2</v>
      </c>
      <c r="J1106" s="60">
        <v>1.2</v>
      </c>
      <c r="K1106" s="10"/>
    </row>
    <row r="1107" spans="1:11" ht="51" x14ac:dyDescent="0.2">
      <c r="A1107" s="268"/>
      <c r="B1107" s="278"/>
      <c r="C1107" s="42" t="s">
        <v>873</v>
      </c>
      <c r="D1107" s="149" t="s">
        <v>302</v>
      </c>
      <c r="E1107" s="46" t="s">
        <v>303</v>
      </c>
      <c r="F1107" s="62">
        <v>41.9</v>
      </c>
      <c r="G1107" s="61">
        <v>41.2</v>
      </c>
      <c r="H1107" s="61">
        <v>42.4</v>
      </c>
      <c r="I1107" s="63">
        <v>43.1</v>
      </c>
      <c r="J1107" s="63">
        <v>44.8</v>
      </c>
      <c r="K1107" s="10"/>
    </row>
    <row r="1108" spans="1:11" ht="38.25" x14ac:dyDescent="0.2">
      <c r="A1108" s="268" t="s">
        <v>1741</v>
      </c>
      <c r="B1108" s="278" t="s">
        <v>978</v>
      </c>
      <c r="C1108" s="42" t="s">
        <v>979</v>
      </c>
      <c r="D1108" s="135" t="s">
        <v>980</v>
      </c>
      <c r="E1108" s="135" t="s">
        <v>823</v>
      </c>
      <c r="F1108" s="49">
        <v>74</v>
      </c>
      <c r="G1108" s="60">
        <v>53</v>
      </c>
      <c r="H1108" s="60">
        <v>0</v>
      </c>
      <c r="I1108" s="60">
        <v>0</v>
      </c>
      <c r="J1108" s="60">
        <v>0</v>
      </c>
      <c r="K1108" s="10"/>
    </row>
    <row r="1109" spans="1:11" ht="51" x14ac:dyDescent="0.2">
      <c r="A1109" s="268"/>
      <c r="B1109" s="278"/>
      <c r="C1109" s="42" t="s">
        <v>873</v>
      </c>
      <c r="D1109" s="149" t="s">
        <v>302</v>
      </c>
      <c r="E1109" s="46" t="s">
        <v>303</v>
      </c>
      <c r="F1109" s="62">
        <v>404.1</v>
      </c>
      <c r="G1109" s="61">
        <v>634.5</v>
      </c>
      <c r="H1109" s="60">
        <v>0</v>
      </c>
      <c r="I1109" s="60">
        <v>0</v>
      </c>
      <c r="J1109" s="60">
        <v>0</v>
      </c>
      <c r="K1109" s="10"/>
    </row>
    <row r="1110" spans="1:11" ht="51" x14ac:dyDescent="0.2">
      <c r="A1110" s="268" t="s">
        <v>1742</v>
      </c>
      <c r="B1110" s="279" t="s">
        <v>981</v>
      </c>
      <c r="C1110" s="42" t="s">
        <v>982</v>
      </c>
      <c r="D1110" s="139" t="s">
        <v>983</v>
      </c>
      <c r="E1110" s="139" t="s">
        <v>823</v>
      </c>
      <c r="F1110" s="61">
        <v>0</v>
      </c>
      <c r="G1110" s="61">
        <v>0</v>
      </c>
      <c r="H1110" s="60">
        <v>12</v>
      </c>
      <c r="I1110" s="60">
        <v>12</v>
      </c>
      <c r="J1110" s="60">
        <v>12</v>
      </c>
      <c r="K1110" s="10"/>
    </row>
    <row r="1111" spans="1:11" ht="51" x14ac:dyDescent="0.2">
      <c r="A1111" s="268"/>
      <c r="B1111" s="279"/>
      <c r="C1111" s="42" t="s">
        <v>873</v>
      </c>
      <c r="D1111" s="149" t="s">
        <v>302</v>
      </c>
      <c r="E1111" s="47" t="s">
        <v>303</v>
      </c>
      <c r="F1111" s="61">
        <v>0</v>
      </c>
      <c r="G1111" s="61">
        <v>0</v>
      </c>
      <c r="H1111" s="61">
        <v>521.29999999999995</v>
      </c>
      <c r="I1111" s="63">
        <v>530.4</v>
      </c>
      <c r="J1111" s="63">
        <v>551.6</v>
      </c>
      <c r="K1111" s="10"/>
    </row>
    <row r="1112" spans="1:11" ht="51" x14ac:dyDescent="0.2">
      <c r="A1112" s="268" t="s">
        <v>1743</v>
      </c>
      <c r="B1112" s="279" t="s">
        <v>984</v>
      </c>
      <c r="C1112" s="42" t="s">
        <v>985</v>
      </c>
      <c r="D1112" s="139" t="s">
        <v>983</v>
      </c>
      <c r="E1112" s="139" t="s">
        <v>823</v>
      </c>
      <c r="F1112" s="61">
        <v>0</v>
      </c>
      <c r="G1112" s="61">
        <v>0</v>
      </c>
      <c r="H1112" s="60">
        <v>41</v>
      </c>
      <c r="I1112" s="60">
        <v>41</v>
      </c>
      <c r="J1112" s="60">
        <v>41</v>
      </c>
      <c r="K1112" s="10"/>
    </row>
    <row r="1113" spans="1:11" ht="51" x14ac:dyDescent="0.2">
      <c r="A1113" s="268"/>
      <c r="B1113" s="279"/>
      <c r="C1113" s="42" t="s">
        <v>873</v>
      </c>
      <c r="D1113" s="149" t="s">
        <v>302</v>
      </c>
      <c r="E1113" s="47" t="s">
        <v>303</v>
      </c>
      <c r="F1113" s="61">
        <v>0</v>
      </c>
      <c r="G1113" s="61">
        <v>0</v>
      </c>
      <c r="H1113" s="61">
        <v>130.30000000000001</v>
      </c>
      <c r="I1113" s="63">
        <v>132.6</v>
      </c>
      <c r="J1113" s="63">
        <v>137.9</v>
      </c>
      <c r="K1113" s="10"/>
    </row>
    <row r="1114" spans="1:11" ht="38.25" x14ac:dyDescent="0.2">
      <c r="A1114" s="268" t="s">
        <v>1744</v>
      </c>
      <c r="B1114" s="278" t="s">
        <v>986</v>
      </c>
      <c r="C1114" s="42" t="s">
        <v>987</v>
      </c>
      <c r="D1114" s="135" t="s">
        <v>988</v>
      </c>
      <c r="E1114" s="135" t="s">
        <v>989</v>
      </c>
      <c r="F1114" s="49">
        <v>3.0950000000000002</v>
      </c>
      <c r="G1114" s="60">
        <v>3.0950000000000002</v>
      </c>
      <c r="H1114" s="60">
        <v>3.0950000000000002</v>
      </c>
      <c r="I1114" s="60">
        <v>3.0950000000000002</v>
      </c>
      <c r="J1114" s="60">
        <v>3.0950000000000002</v>
      </c>
      <c r="K1114" s="10"/>
    </row>
    <row r="1115" spans="1:11" ht="51" x14ac:dyDescent="0.2">
      <c r="A1115" s="268"/>
      <c r="B1115" s="278"/>
      <c r="C1115" s="42" t="s">
        <v>873</v>
      </c>
      <c r="D1115" s="149" t="s">
        <v>302</v>
      </c>
      <c r="E1115" s="46" t="s">
        <v>303</v>
      </c>
      <c r="F1115" s="62">
        <v>4542.7</v>
      </c>
      <c r="G1115" s="61">
        <v>3730.7</v>
      </c>
      <c r="H1115" s="61">
        <v>3831.1</v>
      </c>
      <c r="I1115" s="63">
        <v>3897.7</v>
      </c>
      <c r="J1115" s="63">
        <v>4053.6</v>
      </c>
      <c r="K1115" s="10"/>
    </row>
    <row r="1116" spans="1:11" ht="38.25" customHeight="1" x14ac:dyDescent="0.2">
      <c r="A1116" s="268" t="s">
        <v>1745</v>
      </c>
      <c r="B1116" s="278" t="s">
        <v>990</v>
      </c>
      <c r="C1116" s="42" t="s">
        <v>991</v>
      </c>
      <c r="D1116" s="135" t="s">
        <v>992</v>
      </c>
      <c r="E1116" s="135" t="s">
        <v>993</v>
      </c>
      <c r="F1116" s="49">
        <v>1.2</v>
      </c>
      <c r="G1116" s="60">
        <v>1</v>
      </c>
      <c r="H1116" s="60">
        <v>1</v>
      </c>
      <c r="I1116" s="60">
        <v>1</v>
      </c>
      <c r="J1116" s="60">
        <v>1</v>
      </c>
      <c r="K1116" s="10"/>
    </row>
    <row r="1117" spans="1:11" ht="51" x14ac:dyDescent="0.2">
      <c r="A1117" s="268"/>
      <c r="B1117" s="278"/>
      <c r="C1117" s="42" t="s">
        <v>873</v>
      </c>
      <c r="D1117" s="149" t="s">
        <v>302</v>
      </c>
      <c r="E1117" s="46" t="s">
        <v>303</v>
      </c>
      <c r="F1117" s="62">
        <v>6275.6</v>
      </c>
      <c r="G1117" s="61">
        <v>7113.3</v>
      </c>
      <c r="H1117" s="62">
        <v>7291</v>
      </c>
      <c r="I1117" s="63">
        <v>7417.8</v>
      </c>
      <c r="J1117" s="63">
        <v>7714.5</v>
      </c>
      <c r="K1117" s="10"/>
    </row>
    <row r="1118" spans="1:11" s="164" customFormat="1" ht="53.25" customHeight="1" x14ac:dyDescent="0.2">
      <c r="A1118" s="150" t="s">
        <v>1746</v>
      </c>
      <c r="B1118" s="139" t="s">
        <v>994</v>
      </c>
      <c r="C1118" s="162" t="s">
        <v>873</v>
      </c>
      <c r="D1118" s="139" t="s">
        <v>302</v>
      </c>
      <c r="E1118" s="47" t="s">
        <v>303</v>
      </c>
      <c r="F1118" s="61">
        <v>416</v>
      </c>
      <c r="G1118" s="61">
        <v>426</v>
      </c>
      <c r="H1118" s="63">
        <v>701.2</v>
      </c>
      <c r="I1118" s="63">
        <v>701.2</v>
      </c>
      <c r="J1118" s="63">
        <v>701.2</v>
      </c>
      <c r="K1118" s="163"/>
    </row>
    <row r="1119" spans="1:11" s="102" customFormat="1" ht="27" customHeight="1" x14ac:dyDescent="0.25">
      <c r="A1119" s="172"/>
      <c r="B1119" s="280" t="s">
        <v>995</v>
      </c>
      <c r="C1119" s="281"/>
      <c r="D1119" s="282"/>
      <c r="E1119" s="93" t="s">
        <v>31</v>
      </c>
      <c r="F1119" s="122">
        <f>F1022+F1024+F1026+F1028+F1030+F1031+F1033+F1035+F1037+F1039+F1041+F1043+F1045+F1047+F1049+F1051+F1053+F1055+F1057+F1059+F1061+F1063+F1065+F1067+F1069+F1071+F1073+F1075+F1077+F1079+F1081+F1083+F1085+F1087+F1089+F1091+F1093+F1095+F1097+F1099+F1101+F1103+F1105+F1107+F1109+F1111+F1113+F1115+F1117+F1118</f>
        <v>25944.9</v>
      </c>
      <c r="G1119" s="122">
        <f t="shared" ref="G1119:J1119" si="27">G1022+G1024+G1026+G1028+G1030+G1031+G1033+G1035+G1037+G1039+G1041+G1043+G1045+G1047+G1049+G1051+G1053+G1055+G1057+G1059+G1061+G1063+G1065+G1067+G1069+G1071+G1073+G1075+G1077+G1079+G1081+G1083+G1085+G1087+G1089+G1091+G1093+G1095+G1097+G1099+G1101+G1103+G1105+G1107+G1109+G1111+G1113+G1115+G1117+G1118</f>
        <v>29700.999999999996</v>
      </c>
      <c r="H1119" s="122">
        <f t="shared" si="27"/>
        <v>30730.600000000002</v>
      </c>
      <c r="I1119" s="122">
        <f t="shared" si="27"/>
        <v>31251.200000000001</v>
      </c>
      <c r="J1119" s="122">
        <f t="shared" si="27"/>
        <v>32473.199999999997</v>
      </c>
      <c r="K1119" s="101"/>
    </row>
    <row r="1120" spans="1:11" s="92" customFormat="1" ht="27" customHeight="1" x14ac:dyDescent="0.25">
      <c r="A1120" s="177" t="s">
        <v>1396</v>
      </c>
      <c r="B1120" s="283" t="s">
        <v>996</v>
      </c>
      <c r="C1120" s="283"/>
      <c r="D1120" s="283"/>
      <c r="E1120" s="283"/>
      <c r="F1120" s="283"/>
      <c r="G1120" s="283"/>
      <c r="H1120" s="283"/>
      <c r="I1120" s="283"/>
      <c r="J1120" s="283"/>
      <c r="K1120" s="91"/>
    </row>
    <row r="1121" spans="1:11" ht="25.5" x14ac:dyDescent="0.2">
      <c r="A1121" s="284" t="s">
        <v>1393</v>
      </c>
      <c r="B1121" s="258" t="s">
        <v>997</v>
      </c>
      <c r="C1121" s="135" t="s">
        <v>998</v>
      </c>
      <c r="D1121" s="135" t="s">
        <v>999</v>
      </c>
      <c r="E1121" s="135" t="s">
        <v>1000</v>
      </c>
      <c r="F1121" s="59">
        <v>191.2987</v>
      </c>
      <c r="G1121" s="49">
        <v>112.297</v>
      </c>
      <c r="H1121" s="49">
        <v>112.297</v>
      </c>
      <c r="I1121" s="49">
        <v>112.297</v>
      </c>
      <c r="J1121" s="49">
        <v>112.297</v>
      </c>
      <c r="K1121" s="10"/>
    </row>
    <row r="1122" spans="1:11" ht="51" x14ac:dyDescent="0.2">
      <c r="A1122" s="285"/>
      <c r="B1122" s="258"/>
      <c r="C1122" s="132" t="s">
        <v>1001</v>
      </c>
      <c r="D1122" s="149" t="s">
        <v>302</v>
      </c>
      <c r="E1122" s="133" t="s">
        <v>303</v>
      </c>
      <c r="F1122" s="59">
        <f>F1121*83.78</f>
        <v>16027.005085999999</v>
      </c>
      <c r="G1122" s="59">
        <f>G1121*83.78</f>
        <v>9408.2426599999999</v>
      </c>
      <c r="H1122" s="59">
        <f t="shared" ref="H1122:J1122" si="28">H1121*83.78</f>
        <v>9408.2426599999999</v>
      </c>
      <c r="I1122" s="59">
        <v>9408.2426599999999</v>
      </c>
      <c r="J1122" s="59">
        <f t="shared" si="28"/>
        <v>9408.2426599999999</v>
      </c>
      <c r="K1122" s="10"/>
    </row>
    <row r="1123" spans="1:11" ht="25.5" x14ac:dyDescent="0.2">
      <c r="A1123" s="284" t="s">
        <v>1747</v>
      </c>
      <c r="B1123" s="258" t="s">
        <v>1002</v>
      </c>
      <c r="C1123" s="135" t="s">
        <v>1003</v>
      </c>
      <c r="D1123" s="135" t="s">
        <v>1004</v>
      </c>
      <c r="E1123" s="135" t="s">
        <v>1005</v>
      </c>
      <c r="F1123" s="59">
        <v>111.56</v>
      </c>
      <c r="G1123" s="49">
        <v>103.62</v>
      </c>
      <c r="H1123" s="49">
        <v>103.62</v>
      </c>
      <c r="I1123" s="49">
        <v>103.62</v>
      </c>
      <c r="J1123" s="49">
        <v>103.62</v>
      </c>
      <c r="K1123" s="10"/>
    </row>
    <row r="1124" spans="1:11" ht="51" x14ac:dyDescent="0.2">
      <c r="A1124" s="285"/>
      <c r="B1124" s="258"/>
      <c r="C1124" s="132" t="s">
        <v>1001</v>
      </c>
      <c r="D1124" s="149" t="s">
        <v>302</v>
      </c>
      <c r="E1124" s="133" t="s">
        <v>303</v>
      </c>
      <c r="F1124" s="59">
        <f>F1123*129.15</f>
        <v>14407.974</v>
      </c>
      <c r="G1124" s="59">
        <f>G1123*129.15</f>
        <v>13382.523000000001</v>
      </c>
      <c r="H1124" s="59">
        <f>H1123*129.15</f>
        <v>13382.523000000001</v>
      </c>
      <c r="I1124" s="59">
        <v>13382.523000000001</v>
      </c>
      <c r="J1124" s="59">
        <f>J1123*129.15</f>
        <v>13382.523000000001</v>
      </c>
      <c r="K1124" s="10"/>
    </row>
    <row r="1125" spans="1:11" ht="25.5" x14ac:dyDescent="0.2">
      <c r="A1125" s="284" t="s">
        <v>1748</v>
      </c>
      <c r="B1125" s="258" t="s">
        <v>1002</v>
      </c>
      <c r="C1125" s="135" t="s">
        <v>1003</v>
      </c>
      <c r="D1125" s="135" t="s">
        <v>1006</v>
      </c>
      <c r="E1125" s="135" t="s">
        <v>1005</v>
      </c>
      <c r="F1125" s="59">
        <v>503.34399999999999</v>
      </c>
      <c r="G1125" s="49">
        <v>836.39700000000005</v>
      </c>
      <c r="H1125" s="49">
        <v>995.14380000000006</v>
      </c>
      <c r="I1125" s="49">
        <v>1050.8184000000001</v>
      </c>
      <c r="J1125" s="49">
        <v>1055.7131999999999</v>
      </c>
      <c r="K1125" s="10"/>
    </row>
    <row r="1126" spans="1:11" ht="51" x14ac:dyDescent="0.2">
      <c r="A1126" s="285"/>
      <c r="B1126" s="258"/>
      <c r="C1126" s="132" t="s">
        <v>1001</v>
      </c>
      <c r="D1126" s="149" t="s">
        <v>302</v>
      </c>
      <c r="E1126" s="133" t="s">
        <v>303</v>
      </c>
      <c r="F1126" s="59">
        <f>F1125*83.19</f>
        <v>41873.187359999996</v>
      </c>
      <c r="G1126" s="59">
        <f>G1125*83.19</f>
        <v>69579.866430000009</v>
      </c>
      <c r="H1126" s="59">
        <f>H1125*83.19</f>
        <v>82786.012721999999</v>
      </c>
      <c r="I1126" s="59">
        <v>87417.582696000012</v>
      </c>
      <c r="J1126" s="59">
        <f>J1125*83.19</f>
        <v>87824.781107999996</v>
      </c>
      <c r="K1126" s="10"/>
    </row>
    <row r="1127" spans="1:11" ht="51" x14ac:dyDescent="0.2">
      <c r="A1127" s="284" t="s">
        <v>1749</v>
      </c>
      <c r="B1127" s="258" t="s">
        <v>1007</v>
      </c>
      <c r="C1127" s="135" t="s">
        <v>1008</v>
      </c>
      <c r="D1127" s="135" t="s">
        <v>1009</v>
      </c>
      <c r="E1127" s="135" t="s">
        <v>1005</v>
      </c>
      <c r="F1127" s="59">
        <v>91.804000000000002</v>
      </c>
      <c r="G1127" s="49">
        <v>74.3</v>
      </c>
      <c r="H1127" s="49">
        <v>74.3</v>
      </c>
      <c r="I1127" s="49">
        <v>74.3</v>
      </c>
      <c r="J1127" s="49">
        <v>74.3</v>
      </c>
      <c r="K1127" s="10"/>
    </row>
    <row r="1128" spans="1:11" ht="51" x14ac:dyDescent="0.2">
      <c r="A1128" s="285"/>
      <c r="B1128" s="258"/>
      <c r="C1128" s="132" t="s">
        <v>1001</v>
      </c>
      <c r="D1128" s="149" t="s">
        <v>302</v>
      </c>
      <c r="E1128" s="133" t="s">
        <v>303</v>
      </c>
      <c r="F1128" s="59">
        <f>F1127*61.94</f>
        <v>5686.3397599999998</v>
      </c>
      <c r="G1128" s="59">
        <f>G1127*61.94</f>
        <v>4602.1419999999998</v>
      </c>
      <c r="H1128" s="59">
        <f>H1127*61.94</f>
        <v>4602.1419999999998</v>
      </c>
      <c r="I1128" s="59">
        <v>4602.1419999999998</v>
      </c>
      <c r="J1128" s="59">
        <f>J1127*61.94</f>
        <v>4602.1419999999998</v>
      </c>
      <c r="K1128" s="10"/>
    </row>
    <row r="1129" spans="1:11" x14ac:dyDescent="0.2">
      <c r="A1129" s="284" t="s">
        <v>1750</v>
      </c>
      <c r="B1129" s="258" t="s">
        <v>1010</v>
      </c>
      <c r="C1129" s="135" t="s">
        <v>1011</v>
      </c>
      <c r="D1129" s="135" t="s">
        <v>1012</v>
      </c>
      <c r="E1129" s="135" t="s">
        <v>1013</v>
      </c>
      <c r="F1129" s="59">
        <v>253.51400000000001</v>
      </c>
      <c r="G1129" s="59">
        <v>224.45400000000001</v>
      </c>
      <c r="H1129" s="59">
        <v>224.45400000000001</v>
      </c>
      <c r="I1129" s="59">
        <v>224.45400000000001</v>
      </c>
      <c r="J1129" s="59">
        <v>224.45400000000001</v>
      </c>
      <c r="K1129" s="10"/>
    </row>
    <row r="1130" spans="1:11" ht="51" x14ac:dyDescent="0.2">
      <c r="A1130" s="285"/>
      <c r="B1130" s="258"/>
      <c r="C1130" s="132" t="s">
        <v>1001</v>
      </c>
      <c r="D1130" s="149" t="s">
        <v>302</v>
      </c>
      <c r="E1130" s="133" t="s">
        <v>303</v>
      </c>
      <c r="F1130" s="59">
        <f>F1129*168.64</f>
        <v>42752.600959999996</v>
      </c>
      <c r="G1130" s="59">
        <f>G1129*168.64</f>
        <v>37851.922559999999</v>
      </c>
      <c r="H1130" s="59">
        <f>H1129*168.64</f>
        <v>37851.922559999999</v>
      </c>
      <c r="I1130" s="59">
        <v>37851.922559999999</v>
      </c>
      <c r="J1130" s="59">
        <f>J1129*168.64</f>
        <v>37851.922559999999</v>
      </c>
      <c r="K1130" s="10"/>
    </row>
    <row r="1131" spans="1:11" ht="25.5" x14ac:dyDescent="0.2">
      <c r="A1131" s="284" t="s">
        <v>1751</v>
      </c>
      <c r="B1131" s="258" t="s">
        <v>1014</v>
      </c>
      <c r="C1131" s="135" t="s">
        <v>1015</v>
      </c>
      <c r="D1131" s="135" t="s">
        <v>1016</v>
      </c>
      <c r="E1131" s="135" t="s">
        <v>1013</v>
      </c>
      <c r="F1131" s="59">
        <v>2.4E-2</v>
      </c>
      <c r="G1131" s="49">
        <v>2.4E-2</v>
      </c>
      <c r="H1131" s="49">
        <v>2.4E-2</v>
      </c>
      <c r="I1131" s="49">
        <v>2.4E-2</v>
      </c>
      <c r="J1131" s="49">
        <v>2.4E-2</v>
      </c>
      <c r="K1131" s="10"/>
    </row>
    <row r="1132" spans="1:11" ht="51" x14ac:dyDescent="0.2">
      <c r="A1132" s="285"/>
      <c r="B1132" s="258"/>
      <c r="C1132" s="132" t="s">
        <v>1001</v>
      </c>
      <c r="D1132" s="149" t="s">
        <v>302</v>
      </c>
      <c r="E1132" s="133" t="s">
        <v>303</v>
      </c>
      <c r="F1132" s="59">
        <f>F1131*184000</f>
        <v>4416</v>
      </c>
      <c r="G1132" s="59">
        <f>G1131*184000</f>
        <v>4416</v>
      </c>
      <c r="H1132" s="59">
        <f>H1131*184000</f>
        <v>4416</v>
      </c>
      <c r="I1132" s="59">
        <v>4416</v>
      </c>
      <c r="J1132" s="59">
        <f t="shared" ref="J1132" si="29">J1131*184000</f>
        <v>4416</v>
      </c>
      <c r="K1132" s="10"/>
    </row>
    <row r="1133" spans="1:11" x14ac:dyDescent="0.2">
      <c r="A1133" s="284" t="s">
        <v>1752</v>
      </c>
      <c r="B1133" s="258" t="s">
        <v>1017</v>
      </c>
      <c r="C1133" s="135" t="s">
        <v>1018</v>
      </c>
      <c r="D1133" s="135" t="s">
        <v>1019</v>
      </c>
      <c r="E1133" s="135" t="s">
        <v>1005</v>
      </c>
      <c r="F1133" s="59">
        <v>797.58799999999997</v>
      </c>
      <c r="G1133" s="49">
        <v>340.428</v>
      </c>
      <c r="H1133" s="49">
        <v>329.16</v>
      </c>
      <c r="I1133" s="49">
        <v>329.16</v>
      </c>
      <c r="J1133" s="49">
        <v>329.16</v>
      </c>
      <c r="K1133" s="10"/>
    </row>
    <row r="1134" spans="1:11" ht="51" x14ac:dyDescent="0.2">
      <c r="A1134" s="285"/>
      <c r="B1134" s="258"/>
      <c r="C1134" s="132" t="s">
        <v>1001</v>
      </c>
      <c r="D1134" s="149" t="s">
        <v>302</v>
      </c>
      <c r="E1134" s="133" t="s">
        <v>303</v>
      </c>
      <c r="F1134" s="59">
        <f>F1133*39.48</f>
        <v>31488.774239999995</v>
      </c>
      <c r="G1134" s="59">
        <f>G1133*39.48</f>
        <v>13440.09744</v>
      </c>
      <c r="H1134" s="59">
        <f>H1133*39.48</f>
        <v>12995.236800000001</v>
      </c>
      <c r="I1134" s="59">
        <v>12995.236800000001</v>
      </c>
      <c r="J1134" s="59">
        <f>J1133*39.48</f>
        <v>12995.236800000001</v>
      </c>
      <c r="K1134" s="10"/>
    </row>
    <row r="1135" spans="1:11" x14ac:dyDescent="0.2">
      <c r="A1135" s="284" t="s">
        <v>1753</v>
      </c>
      <c r="B1135" s="258" t="s">
        <v>1017</v>
      </c>
      <c r="C1135" s="135" t="s">
        <v>1020</v>
      </c>
      <c r="D1135" s="135" t="s">
        <v>1021</v>
      </c>
      <c r="E1135" s="135" t="s">
        <v>1005</v>
      </c>
      <c r="F1135" s="49">
        <v>0</v>
      </c>
      <c r="G1135" s="49">
        <v>0</v>
      </c>
      <c r="H1135" s="49">
        <v>0</v>
      </c>
      <c r="I1135" s="49">
        <v>0</v>
      </c>
      <c r="J1135" s="49">
        <v>0</v>
      </c>
      <c r="K1135" s="10"/>
    </row>
    <row r="1136" spans="1:11" ht="51" x14ac:dyDescent="0.2">
      <c r="A1136" s="285"/>
      <c r="B1136" s="258"/>
      <c r="C1136" s="132" t="s">
        <v>1001</v>
      </c>
      <c r="D1136" s="149" t="s">
        <v>302</v>
      </c>
      <c r="E1136" s="133" t="s">
        <v>303</v>
      </c>
      <c r="F1136" s="49">
        <v>0</v>
      </c>
      <c r="G1136" s="49">
        <v>0</v>
      </c>
      <c r="H1136" s="49">
        <v>0</v>
      </c>
      <c r="I1136" s="49">
        <v>0</v>
      </c>
      <c r="J1136" s="49">
        <v>0</v>
      </c>
      <c r="K1136" s="10"/>
    </row>
    <row r="1137" spans="1:11" x14ac:dyDescent="0.2">
      <c r="A1137" s="284" t="s">
        <v>1754</v>
      </c>
      <c r="B1137" s="258" t="s">
        <v>1022</v>
      </c>
      <c r="C1137" s="135" t="s">
        <v>1023</v>
      </c>
      <c r="D1137" s="135" t="s">
        <v>1024</v>
      </c>
      <c r="E1137" s="135" t="s">
        <v>1005</v>
      </c>
      <c r="F1137" s="49">
        <v>0</v>
      </c>
      <c r="G1137" s="49">
        <v>2.4E-2</v>
      </c>
      <c r="H1137" s="49">
        <v>0</v>
      </c>
      <c r="I1137" s="49">
        <v>0</v>
      </c>
      <c r="J1137" s="49">
        <v>0</v>
      </c>
      <c r="K1137" s="10"/>
    </row>
    <row r="1138" spans="1:11" ht="51" x14ac:dyDescent="0.2">
      <c r="A1138" s="285"/>
      <c r="B1138" s="258"/>
      <c r="C1138" s="132" t="s">
        <v>1001</v>
      </c>
      <c r="D1138" s="149" t="s">
        <v>302</v>
      </c>
      <c r="E1138" s="133" t="s">
        <v>303</v>
      </c>
      <c r="F1138" s="49">
        <v>0</v>
      </c>
      <c r="G1138" s="49">
        <f>G1137*305.98</f>
        <v>7.3435200000000007</v>
      </c>
      <c r="H1138" s="49">
        <v>0</v>
      </c>
      <c r="I1138" s="49">
        <v>0</v>
      </c>
      <c r="J1138" s="49">
        <v>0</v>
      </c>
      <c r="K1138" s="10"/>
    </row>
    <row r="1139" spans="1:11" x14ac:dyDescent="0.2">
      <c r="A1139" s="284" t="s">
        <v>1755</v>
      </c>
      <c r="B1139" s="258" t="s">
        <v>1022</v>
      </c>
      <c r="C1139" s="135" t="s">
        <v>1025</v>
      </c>
      <c r="D1139" s="135" t="s">
        <v>1026</v>
      </c>
      <c r="E1139" s="135" t="s">
        <v>1005</v>
      </c>
      <c r="F1139" s="49">
        <v>0</v>
      </c>
      <c r="G1139" s="49">
        <v>2.4E-2</v>
      </c>
      <c r="H1139" s="49">
        <v>0</v>
      </c>
      <c r="I1139" s="49">
        <v>0</v>
      </c>
      <c r="J1139" s="49">
        <v>0</v>
      </c>
      <c r="K1139" s="10"/>
    </row>
    <row r="1140" spans="1:11" ht="51" x14ac:dyDescent="0.2">
      <c r="A1140" s="285"/>
      <c r="B1140" s="258"/>
      <c r="C1140" s="132" t="s">
        <v>1001</v>
      </c>
      <c r="D1140" s="149" t="s">
        <v>302</v>
      </c>
      <c r="E1140" s="133" t="s">
        <v>303</v>
      </c>
      <c r="F1140" s="49">
        <v>0</v>
      </c>
      <c r="G1140" s="49">
        <f>G1139*1000.5</f>
        <v>24.012</v>
      </c>
      <c r="H1140" s="49">
        <v>0</v>
      </c>
      <c r="I1140" s="49">
        <v>0</v>
      </c>
      <c r="J1140" s="49">
        <v>0</v>
      </c>
      <c r="K1140" s="10"/>
    </row>
    <row r="1141" spans="1:11" s="102" customFormat="1" ht="24" customHeight="1" x14ac:dyDescent="0.25">
      <c r="A1141" s="172"/>
      <c r="B1141" s="280" t="s">
        <v>1027</v>
      </c>
      <c r="C1141" s="281"/>
      <c r="D1141" s="282"/>
      <c r="E1141" s="93" t="s">
        <v>31</v>
      </c>
      <c r="F1141" s="94">
        <f>F1122+F1124+F1126+F1128+F1130+F1132+F1134+F1136+F1138+F1140</f>
        <v>156651.88140599997</v>
      </c>
      <c r="G1141" s="122">
        <f t="shared" ref="G1141:J1141" si="30">G1122+G1124+G1126+G1128+G1130+G1132+G1134+G1136+G1138+G1140</f>
        <v>152712.14961000002</v>
      </c>
      <c r="H1141" s="122">
        <f t="shared" si="30"/>
        <v>165442.07974200003</v>
      </c>
      <c r="I1141" s="122">
        <f t="shared" si="30"/>
        <v>170073.64971600004</v>
      </c>
      <c r="J1141" s="122">
        <f t="shared" si="30"/>
        <v>170480.84812800001</v>
      </c>
      <c r="K1141" s="101"/>
    </row>
    <row r="1142" spans="1:11" s="92" customFormat="1" ht="24" customHeight="1" x14ac:dyDescent="0.25">
      <c r="A1142" s="173" t="s">
        <v>1394</v>
      </c>
      <c r="B1142" s="261" t="s">
        <v>1028</v>
      </c>
      <c r="C1142" s="262"/>
      <c r="D1142" s="262"/>
      <c r="E1142" s="262"/>
      <c r="F1142" s="262"/>
      <c r="G1142" s="262"/>
      <c r="H1142" s="262"/>
      <c r="I1142" s="262"/>
      <c r="J1142" s="263"/>
      <c r="K1142" s="91"/>
    </row>
    <row r="1143" spans="1:11" x14ac:dyDescent="0.2">
      <c r="A1143" s="268" t="s">
        <v>1395</v>
      </c>
      <c r="B1143" s="258" t="s">
        <v>1029</v>
      </c>
      <c r="C1143" s="48" t="s">
        <v>1030</v>
      </c>
      <c r="D1143" s="133" t="s">
        <v>1031</v>
      </c>
      <c r="E1143" s="77" t="s">
        <v>23</v>
      </c>
      <c r="F1143" s="75">
        <v>48</v>
      </c>
      <c r="G1143" s="75">
        <v>47</v>
      </c>
      <c r="H1143" s="75">
        <v>47</v>
      </c>
      <c r="I1143" s="75">
        <v>47</v>
      </c>
      <c r="J1143" s="75">
        <v>47</v>
      </c>
      <c r="K1143" s="10"/>
    </row>
    <row r="1144" spans="1:11" ht="51" x14ac:dyDescent="0.2">
      <c r="A1144" s="268"/>
      <c r="B1144" s="258"/>
      <c r="C1144" s="136" t="s">
        <v>1032</v>
      </c>
      <c r="D1144" s="46" t="s">
        <v>302</v>
      </c>
      <c r="E1144" s="46" t="s">
        <v>303</v>
      </c>
      <c r="F1144" s="62">
        <v>2971.8</v>
      </c>
      <c r="G1144" s="62">
        <v>3691.8</v>
      </c>
      <c r="H1144" s="62">
        <v>6725.9</v>
      </c>
      <c r="I1144" s="62">
        <v>6725.9</v>
      </c>
      <c r="J1144" s="62">
        <v>6725.9</v>
      </c>
      <c r="K1144" s="10"/>
    </row>
    <row r="1145" spans="1:11" ht="51" x14ac:dyDescent="0.2">
      <c r="A1145" s="268"/>
      <c r="B1145" s="258"/>
      <c r="C1145" s="136" t="s">
        <v>1033</v>
      </c>
      <c r="D1145" s="46" t="s">
        <v>302</v>
      </c>
      <c r="E1145" s="46" t="s">
        <v>303</v>
      </c>
      <c r="F1145" s="62">
        <v>568.5</v>
      </c>
      <c r="G1145" s="62">
        <v>1988.6</v>
      </c>
      <c r="H1145" s="62">
        <v>1988.6</v>
      </c>
      <c r="I1145" s="62">
        <v>1988.6</v>
      </c>
      <c r="J1145" s="62">
        <v>1988.6</v>
      </c>
      <c r="K1145" s="10"/>
    </row>
    <row r="1146" spans="1:11" x14ac:dyDescent="0.2">
      <c r="A1146" s="268" t="s">
        <v>1756</v>
      </c>
      <c r="B1146" s="258" t="s">
        <v>1034</v>
      </c>
      <c r="C1146" s="142" t="s">
        <v>1035</v>
      </c>
      <c r="D1146" s="135" t="s">
        <v>1036</v>
      </c>
      <c r="E1146" s="77" t="s">
        <v>23</v>
      </c>
      <c r="F1146" s="75">
        <v>273</v>
      </c>
      <c r="G1146" s="75">
        <v>134</v>
      </c>
      <c r="H1146" s="75">
        <v>134</v>
      </c>
      <c r="I1146" s="75">
        <v>134</v>
      </c>
      <c r="J1146" s="75">
        <v>134</v>
      </c>
      <c r="K1146" s="10"/>
    </row>
    <row r="1147" spans="1:11" ht="51" x14ac:dyDescent="0.2">
      <c r="A1147" s="268"/>
      <c r="B1147" s="258"/>
      <c r="C1147" s="136" t="s">
        <v>1032</v>
      </c>
      <c r="D1147" s="46" t="s">
        <v>302</v>
      </c>
      <c r="E1147" s="46" t="s">
        <v>303</v>
      </c>
      <c r="F1147" s="62">
        <v>1000</v>
      </c>
      <c r="G1147" s="62"/>
      <c r="H1147" s="62"/>
      <c r="I1147" s="62"/>
      <c r="J1147" s="62"/>
      <c r="K1147" s="10"/>
    </row>
    <row r="1148" spans="1:11" ht="51" x14ac:dyDescent="0.2">
      <c r="A1148" s="268"/>
      <c r="B1148" s="258"/>
      <c r="C1148" s="136" t="s">
        <v>1033</v>
      </c>
      <c r="D1148" s="46" t="s">
        <v>302</v>
      </c>
      <c r="E1148" s="46" t="s">
        <v>303</v>
      </c>
      <c r="F1148" s="62">
        <v>5852.3</v>
      </c>
      <c r="G1148" s="62">
        <v>4800.1000000000004</v>
      </c>
      <c r="H1148" s="62">
        <v>5938.8</v>
      </c>
      <c r="I1148" s="62">
        <v>6107.1</v>
      </c>
      <c r="J1148" s="62">
        <v>6787.2</v>
      </c>
      <c r="K1148" s="10"/>
    </row>
    <row r="1149" spans="1:11" x14ac:dyDescent="0.2">
      <c r="A1149" s="268" t="s">
        <v>1757</v>
      </c>
      <c r="B1149" s="258" t="s">
        <v>1037</v>
      </c>
      <c r="C1149" s="78" t="s">
        <v>1038</v>
      </c>
      <c r="D1149" s="135" t="s">
        <v>1039</v>
      </c>
      <c r="E1149" s="77" t="s">
        <v>23</v>
      </c>
      <c r="F1149" s="75">
        <v>2</v>
      </c>
      <c r="G1149" s="75"/>
      <c r="H1149" s="75"/>
      <c r="I1149" s="75"/>
      <c r="J1149" s="75"/>
      <c r="K1149" s="10"/>
    </row>
    <row r="1150" spans="1:11" ht="51" x14ac:dyDescent="0.2">
      <c r="A1150" s="268"/>
      <c r="B1150" s="258"/>
      <c r="C1150" s="136" t="s">
        <v>1032</v>
      </c>
      <c r="D1150" s="46" t="s">
        <v>302</v>
      </c>
      <c r="E1150" s="46" t="s">
        <v>303</v>
      </c>
      <c r="F1150" s="62">
        <v>1000</v>
      </c>
      <c r="G1150" s="62"/>
      <c r="H1150" s="62"/>
      <c r="I1150" s="62"/>
      <c r="J1150" s="62"/>
      <c r="K1150" s="10"/>
    </row>
    <row r="1151" spans="1:11" ht="25.5" x14ac:dyDescent="0.2">
      <c r="A1151" s="268" t="s">
        <v>1758</v>
      </c>
      <c r="B1151" s="258" t="s">
        <v>1040</v>
      </c>
      <c r="C1151" s="135" t="s">
        <v>1041</v>
      </c>
      <c r="D1151" s="135" t="s">
        <v>1042</v>
      </c>
      <c r="E1151" s="77" t="s">
        <v>23</v>
      </c>
      <c r="F1151" s="75">
        <v>6900</v>
      </c>
      <c r="G1151" s="75">
        <v>5200</v>
      </c>
      <c r="H1151" s="75">
        <v>5200</v>
      </c>
      <c r="I1151" s="75">
        <v>5200</v>
      </c>
      <c r="J1151" s="75">
        <v>5200</v>
      </c>
      <c r="K1151" s="10"/>
    </row>
    <row r="1152" spans="1:11" ht="51" x14ac:dyDescent="0.2">
      <c r="A1152" s="268"/>
      <c r="B1152" s="258"/>
      <c r="C1152" s="136" t="s">
        <v>1032</v>
      </c>
      <c r="D1152" s="46" t="s">
        <v>302</v>
      </c>
      <c r="E1152" s="46" t="s">
        <v>303</v>
      </c>
      <c r="F1152" s="62">
        <v>7319.7</v>
      </c>
      <c r="G1152" s="62">
        <v>8599.7000000000007</v>
      </c>
      <c r="H1152" s="62">
        <v>8987</v>
      </c>
      <c r="I1152" s="62">
        <v>8987</v>
      </c>
      <c r="J1152" s="62">
        <v>8987</v>
      </c>
      <c r="K1152" s="10"/>
    </row>
    <row r="1153" spans="1:11" ht="51" x14ac:dyDescent="0.2">
      <c r="A1153" s="268"/>
      <c r="B1153" s="258"/>
      <c r="C1153" s="136" t="s">
        <v>1033</v>
      </c>
      <c r="D1153" s="46" t="s">
        <v>302</v>
      </c>
      <c r="E1153" s="46" t="s">
        <v>303</v>
      </c>
      <c r="F1153" s="62">
        <v>9364.9</v>
      </c>
      <c r="G1153" s="62">
        <v>9564.9</v>
      </c>
      <c r="H1153" s="62">
        <v>9564.9</v>
      </c>
      <c r="I1153" s="62">
        <v>9564.9</v>
      </c>
      <c r="J1153" s="62">
        <v>9564.9</v>
      </c>
      <c r="K1153" s="10"/>
    </row>
    <row r="1154" spans="1:11" x14ac:dyDescent="0.2">
      <c r="A1154" s="268" t="s">
        <v>1759</v>
      </c>
      <c r="B1154" s="258" t="s">
        <v>1043</v>
      </c>
      <c r="C1154" s="135" t="s">
        <v>1038</v>
      </c>
      <c r="D1154" s="135" t="s">
        <v>1039</v>
      </c>
      <c r="E1154" s="77" t="s">
        <v>23</v>
      </c>
      <c r="F1154" s="75">
        <v>4</v>
      </c>
      <c r="G1154" s="75">
        <v>5</v>
      </c>
      <c r="H1154" s="75">
        <v>3</v>
      </c>
      <c r="I1154" s="75">
        <v>3</v>
      </c>
      <c r="J1154" s="75">
        <v>3</v>
      </c>
      <c r="K1154" s="10"/>
    </row>
    <row r="1155" spans="1:11" ht="51" x14ac:dyDescent="0.2">
      <c r="A1155" s="268"/>
      <c r="B1155" s="258"/>
      <c r="C1155" s="136" t="s">
        <v>1044</v>
      </c>
      <c r="D1155" s="46" t="s">
        <v>302</v>
      </c>
      <c r="E1155" s="46" t="s">
        <v>303</v>
      </c>
      <c r="F1155" s="62">
        <v>39000</v>
      </c>
      <c r="G1155" s="62">
        <v>20600</v>
      </c>
      <c r="H1155" s="62">
        <v>16970.8</v>
      </c>
      <c r="I1155" s="62">
        <v>2429.6999999999998</v>
      </c>
      <c r="J1155" s="62"/>
      <c r="K1155" s="10"/>
    </row>
    <row r="1156" spans="1:11" ht="51" x14ac:dyDescent="0.2">
      <c r="A1156" s="268"/>
      <c r="B1156" s="258"/>
      <c r="C1156" s="136" t="s">
        <v>1045</v>
      </c>
      <c r="D1156" s="46" t="s">
        <v>302</v>
      </c>
      <c r="E1156" s="46" t="s">
        <v>303</v>
      </c>
      <c r="F1156" s="62">
        <v>15000</v>
      </c>
      <c r="G1156" s="62">
        <v>20868</v>
      </c>
      <c r="H1156" s="62">
        <v>15000</v>
      </c>
      <c r="I1156" s="62">
        <v>24000</v>
      </c>
      <c r="J1156" s="62">
        <v>24000</v>
      </c>
      <c r="K1156" s="10"/>
    </row>
    <row r="1157" spans="1:11" ht="51" x14ac:dyDescent="0.2">
      <c r="A1157" s="268"/>
      <c r="B1157" s="258"/>
      <c r="C1157" s="136" t="s">
        <v>1046</v>
      </c>
      <c r="D1157" s="46" t="s">
        <v>302</v>
      </c>
      <c r="E1157" s="46" t="s">
        <v>303</v>
      </c>
      <c r="F1157" s="62"/>
      <c r="G1157" s="62">
        <v>11021</v>
      </c>
      <c r="H1157" s="62"/>
      <c r="I1157" s="62"/>
      <c r="J1157" s="62"/>
      <c r="K1157" s="10"/>
    </row>
    <row r="1158" spans="1:11" x14ac:dyDescent="0.2">
      <c r="A1158" s="268" t="s">
        <v>1760</v>
      </c>
      <c r="B1158" s="258" t="s">
        <v>1043</v>
      </c>
      <c r="C1158" s="135" t="s">
        <v>1038</v>
      </c>
      <c r="D1158" s="135" t="s">
        <v>1047</v>
      </c>
      <c r="E1158" s="77" t="s">
        <v>23</v>
      </c>
      <c r="F1158" s="75">
        <v>30</v>
      </c>
      <c r="G1158" s="75"/>
      <c r="H1158" s="75">
        <v>62</v>
      </c>
      <c r="I1158" s="75">
        <v>62</v>
      </c>
      <c r="J1158" s="75">
        <v>62</v>
      </c>
      <c r="K1158" s="10"/>
    </row>
    <row r="1159" spans="1:11" ht="51" x14ac:dyDescent="0.2">
      <c r="A1159" s="268"/>
      <c r="B1159" s="258"/>
      <c r="C1159" s="136" t="s">
        <v>1048</v>
      </c>
      <c r="D1159" s="46" t="s">
        <v>302</v>
      </c>
      <c r="E1159" s="46" t="s">
        <v>303</v>
      </c>
      <c r="F1159" s="62">
        <v>35</v>
      </c>
      <c r="G1159" s="62"/>
      <c r="H1159" s="62">
        <v>1093.8</v>
      </c>
      <c r="I1159" s="62">
        <v>1093.8</v>
      </c>
      <c r="J1159" s="62">
        <v>1093.8</v>
      </c>
      <c r="K1159" s="10"/>
    </row>
    <row r="1160" spans="1:11" x14ac:dyDescent="0.2">
      <c r="A1160" s="268" t="s">
        <v>1761</v>
      </c>
      <c r="B1160" s="258" t="s">
        <v>1049</v>
      </c>
      <c r="C1160" s="135" t="s">
        <v>1050</v>
      </c>
      <c r="D1160" s="135" t="s">
        <v>1039</v>
      </c>
      <c r="E1160" s="77" t="s">
        <v>23</v>
      </c>
      <c r="F1160" s="75">
        <v>2</v>
      </c>
      <c r="G1160" s="75">
        <v>404</v>
      </c>
      <c r="H1160" s="75">
        <v>410</v>
      </c>
      <c r="I1160" s="75">
        <v>410</v>
      </c>
      <c r="J1160" s="75">
        <v>410</v>
      </c>
      <c r="K1160" s="10"/>
    </row>
    <row r="1161" spans="1:11" ht="51" x14ac:dyDescent="0.2">
      <c r="A1161" s="268"/>
      <c r="B1161" s="258"/>
      <c r="C1161" s="136" t="s">
        <v>1051</v>
      </c>
      <c r="D1161" s="46" t="s">
        <v>302</v>
      </c>
      <c r="E1161" s="46" t="s">
        <v>303</v>
      </c>
      <c r="F1161" s="62">
        <v>8600</v>
      </c>
      <c r="G1161" s="62">
        <v>10320</v>
      </c>
      <c r="H1161" s="62">
        <v>10733</v>
      </c>
      <c r="I1161" s="62">
        <v>11592</v>
      </c>
      <c r="J1161" s="62">
        <v>12500</v>
      </c>
      <c r="K1161" s="10"/>
    </row>
    <row r="1162" spans="1:11" ht="51" x14ac:dyDescent="0.2">
      <c r="A1162" s="268"/>
      <c r="B1162" s="258"/>
      <c r="C1162" s="136" t="s">
        <v>1052</v>
      </c>
      <c r="D1162" s="46" t="s">
        <v>302</v>
      </c>
      <c r="E1162" s="46" t="s">
        <v>303</v>
      </c>
      <c r="F1162" s="62">
        <v>11662.8</v>
      </c>
      <c r="G1162" s="62">
        <v>13265</v>
      </c>
      <c r="H1162" s="62">
        <v>18000</v>
      </c>
      <c r="I1162" s="62">
        <v>18000</v>
      </c>
      <c r="J1162" s="62">
        <v>18000</v>
      </c>
      <c r="K1162" s="10"/>
    </row>
    <row r="1163" spans="1:11" x14ac:dyDescent="0.2">
      <c r="A1163" s="268" t="s">
        <v>1762</v>
      </c>
      <c r="B1163" s="258" t="s">
        <v>1053</v>
      </c>
      <c r="C1163" s="137" t="s">
        <v>1054</v>
      </c>
      <c r="D1163" s="135" t="s">
        <v>1055</v>
      </c>
      <c r="E1163" s="77" t="s">
        <v>1056</v>
      </c>
      <c r="F1163" s="75">
        <v>2941.7</v>
      </c>
      <c r="G1163" s="75">
        <v>3163.24</v>
      </c>
      <c r="H1163" s="75">
        <v>3853.44</v>
      </c>
      <c r="I1163" s="75">
        <v>3853.4</v>
      </c>
      <c r="J1163" s="75">
        <v>3853.4</v>
      </c>
      <c r="K1163" s="10"/>
    </row>
    <row r="1164" spans="1:11" ht="51" x14ac:dyDescent="0.2">
      <c r="A1164" s="268"/>
      <c r="B1164" s="258"/>
      <c r="C1164" s="136" t="s">
        <v>1057</v>
      </c>
      <c r="D1164" s="46" t="s">
        <v>302</v>
      </c>
      <c r="E1164" s="46" t="s">
        <v>303</v>
      </c>
      <c r="F1164" s="62">
        <v>124.3</v>
      </c>
      <c r="G1164" s="62">
        <v>14763.2</v>
      </c>
      <c r="H1164" s="62">
        <v>21490.3</v>
      </c>
      <c r="I1164" s="62">
        <v>21490.3</v>
      </c>
      <c r="J1164" s="62">
        <v>21490.3</v>
      </c>
      <c r="K1164" s="10"/>
    </row>
    <row r="1165" spans="1:11" ht="51" x14ac:dyDescent="0.2">
      <c r="A1165" s="268"/>
      <c r="B1165" s="258"/>
      <c r="C1165" s="136" t="s">
        <v>1058</v>
      </c>
      <c r="D1165" s="46" t="s">
        <v>302</v>
      </c>
      <c r="E1165" s="46" t="s">
        <v>303</v>
      </c>
      <c r="F1165" s="62"/>
      <c r="G1165" s="62">
        <v>18.600000000000001</v>
      </c>
      <c r="H1165" s="62"/>
      <c r="I1165" s="62"/>
      <c r="J1165" s="62"/>
      <c r="K1165" s="10"/>
    </row>
    <row r="1166" spans="1:11" ht="51" x14ac:dyDescent="0.2">
      <c r="A1166" s="268"/>
      <c r="B1166" s="258"/>
      <c r="C1166" s="136" t="s">
        <v>1059</v>
      </c>
      <c r="D1166" s="46" t="s">
        <v>302</v>
      </c>
      <c r="E1166" s="46" t="s">
        <v>303</v>
      </c>
      <c r="F1166" s="62">
        <v>9479.2999999999993</v>
      </c>
      <c r="G1166" s="62"/>
      <c r="H1166" s="62"/>
      <c r="I1166" s="62"/>
      <c r="J1166" s="62"/>
      <c r="K1166" s="10"/>
    </row>
    <row r="1167" spans="1:11" x14ac:dyDescent="0.2">
      <c r="A1167" s="268" t="s">
        <v>1763</v>
      </c>
      <c r="B1167" s="258" t="s">
        <v>1060</v>
      </c>
      <c r="C1167" s="137" t="s">
        <v>1061</v>
      </c>
      <c r="D1167" s="135" t="s">
        <v>1055</v>
      </c>
      <c r="E1167" s="77" t="s">
        <v>1056</v>
      </c>
      <c r="F1167" s="75">
        <v>391.7</v>
      </c>
      <c r="G1167" s="75">
        <v>364.72</v>
      </c>
      <c r="H1167" s="75">
        <v>509.02</v>
      </c>
      <c r="I1167" s="75">
        <v>509</v>
      </c>
      <c r="J1167" s="75">
        <v>509</v>
      </c>
      <c r="K1167" s="10"/>
    </row>
    <row r="1168" spans="1:11" ht="51" x14ac:dyDescent="0.2">
      <c r="A1168" s="268"/>
      <c r="B1168" s="258"/>
      <c r="C1168" s="136" t="s">
        <v>1059</v>
      </c>
      <c r="D1168" s="46" t="s">
        <v>302</v>
      </c>
      <c r="E1168" s="46" t="s">
        <v>303</v>
      </c>
      <c r="F1168" s="62">
        <v>6170.1</v>
      </c>
      <c r="G1168" s="62"/>
      <c r="H1168" s="62"/>
      <c r="I1168" s="62"/>
      <c r="J1168" s="62"/>
      <c r="K1168" s="10"/>
    </row>
    <row r="1169" spans="1:11" ht="51" x14ac:dyDescent="0.2">
      <c r="A1169" s="268"/>
      <c r="B1169" s="258"/>
      <c r="C1169" s="136" t="s">
        <v>1057</v>
      </c>
      <c r="D1169" s="46" t="s">
        <v>302</v>
      </c>
      <c r="E1169" s="46" t="s">
        <v>303</v>
      </c>
      <c r="F1169" s="62"/>
      <c r="G1169" s="62">
        <v>8530.7999999999993</v>
      </c>
      <c r="H1169" s="62">
        <v>10191</v>
      </c>
      <c r="I1169" s="62">
        <v>10191</v>
      </c>
      <c r="J1169" s="62">
        <v>10191</v>
      </c>
      <c r="K1169" s="10"/>
    </row>
    <row r="1170" spans="1:11" ht="51" x14ac:dyDescent="0.2">
      <c r="A1170" s="268"/>
      <c r="B1170" s="258"/>
      <c r="C1170" s="136" t="s">
        <v>1058</v>
      </c>
      <c r="D1170" s="46" t="s">
        <v>302</v>
      </c>
      <c r="E1170" s="46" t="s">
        <v>303</v>
      </c>
      <c r="F1170" s="62">
        <v>32.6</v>
      </c>
      <c r="G1170" s="62">
        <v>102.4</v>
      </c>
      <c r="H1170" s="62"/>
      <c r="I1170" s="62"/>
      <c r="J1170" s="62"/>
      <c r="K1170" s="10"/>
    </row>
    <row r="1171" spans="1:11" x14ac:dyDescent="0.2">
      <c r="A1171" s="268" t="s">
        <v>1764</v>
      </c>
      <c r="B1171" s="258" t="s">
        <v>1062</v>
      </c>
      <c r="C1171" s="137" t="s">
        <v>1063</v>
      </c>
      <c r="D1171" s="135" t="s">
        <v>1055</v>
      </c>
      <c r="E1171" s="77" t="s">
        <v>1056</v>
      </c>
      <c r="F1171" s="75">
        <v>1453.2</v>
      </c>
      <c r="G1171" s="75">
        <v>1507.3</v>
      </c>
      <c r="H1171" s="75">
        <v>1522.6</v>
      </c>
      <c r="I1171" s="75">
        <v>1522.6</v>
      </c>
      <c r="J1171" s="75">
        <v>1522.6</v>
      </c>
      <c r="K1171" s="10"/>
    </row>
    <row r="1172" spans="1:11" ht="51" x14ac:dyDescent="0.2">
      <c r="A1172" s="268"/>
      <c r="B1172" s="258"/>
      <c r="C1172" s="136" t="s">
        <v>1057</v>
      </c>
      <c r="D1172" s="46" t="s">
        <v>302</v>
      </c>
      <c r="E1172" s="46" t="s">
        <v>303</v>
      </c>
      <c r="F1172" s="62">
        <v>4931.6000000000004</v>
      </c>
      <c r="G1172" s="62"/>
      <c r="H1172" s="62"/>
      <c r="I1172" s="62"/>
      <c r="J1172" s="62"/>
      <c r="K1172" s="10"/>
    </row>
    <row r="1173" spans="1:11" ht="51" x14ac:dyDescent="0.2">
      <c r="A1173" s="268"/>
      <c r="B1173" s="258"/>
      <c r="C1173" s="136" t="s">
        <v>1059</v>
      </c>
      <c r="D1173" s="46" t="s">
        <v>302</v>
      </c>
      <c r="E1173" s="46" t="s">
        <v>303</v>
      </c>
      <c r="F1173" s="62">
        <v>14199.1</v>
      </c>
      <c r="G1173" s="62">
        <v>9840.1</v>
      </c>
      <c r="H1173" s="62">
        <v>7696.6</v>
      </c>
      <c r="I1173" s="62">
        <v>7696.6</v>
      </c>
      <c r="J1173" s="62">
        <v>7696.6</v>
      </c>
      <c r="K1173" s="10"/>
    </row>
    <row r="1174" spans="1:11" x14ac:dyDescent="0.2">
      <c r="A1174" s="268" t="s">
        <v>1765</v>
      </c>
      <c r="B1174" s="258" t="s">
        <v>1064</v>
      </c>
      <c r="C1174" s="137" t="s">
        <v>1065</v>
      </c>
      <c r="D1174" s="135" t="s">
        <v>1055</v>
      </c>
      <c r="E1174" s="77" t="s">
        <v>1056</v>
      </c>
      <c r="F1174" s="75">
        <v>322.2</v>
      </c>
      <c r="G1174" s="75">
        <v>38.799999999999997</v>
      </c>
      <c r="H1174" s="75">
        <v>43.3</v>
      </c>
      <c r="I1174" s="75">
        <v>43.3</v>
      </c>
      <c r="J1174" s="75">
        <v>43.3</v>
      </c>
      <c r="K1174" s="10"/>
    </row>
    <row r="1175" spans="1:11" ht="51" x14ac:dyDescent="0.2">
      <c r="A1175" s="268"/>
      <c r="B1175" s="258"/>
      <c r="C1175" s="136" t="s">
        <v>1057</v>
      </c>
      <c r="D1175" s="46" t="s">
        <v>302</v>
      </c>
      <c r="E1175" s="46" t="s">
        <v>303</v>
      </c>
      <c r="F1175" s="62">
        <v>20765.8</v>
      </c>
      <c r="G1175" s="62"/>
      <c r="H1175" s="62"/>
      <c r="I1175" s="62"/>
      <c r="J1175" s="62"/>
      <c r="K1175" s="10"/>
    </row>
    <row r="1176" spans="1:11" ht="51" x14ac:dyDescent="0.2">
      <c r="A1176" s="268"/>
      <c r="B1176" s="258"/>
      <c r="C1176" s="136" t="s">
        <v>1059</v>
      </c>
      <c r="D1176" s="46" t="s">
        <v>302</v>
      </c>
      <c r="E1176" s="46" t="s">
        <v>303</v>
      </c>
      <c r="F1176" s="62">
        <v>3957.1</v>
      </c>
      <c r="G1176" s="62">
        <v>1277.3</v>
      </c>
      <c r="H1176" s="62">
        <v>2038.8</v>
      </c>
      <c r="I1176" s="62">
        <v>2038.8</v>
      </c>
      <c r="J1176" s="62">
        <v>2038.8</v>
      </c>
      <c r="K1176" s="10"/>
    </row>
    <row r="1177" spans="1:11" x14ac:dyDescent="0.2">
      <c r="A1177" s="268" t="s">
        <v>1766</v>
      </c>
      <c r="B1177" s="258" t="s">
        <v>1066</v>
      </c>
      <c r="C1177" s="137" t="s">
        <v>1067</v>
      </c>
      <c r="D1177" s="135" t="s">
        <v>1055</v>
      </c>
      <c r="E1177" s="77" t="s">
        <v>1056</v>
      </c>
      <c r="F1177" s="75">
        <v>214.9</v>
      </c>
      <c r="G1177" s="75">
        <v>196</v>
      </c>
      <c r="H1177" s="75">
        <v>231.7</v>
      </c>
      <c r="I1177" s="75">
        <v>231.7</v>
      </c>
      <c r="J1177" s="75">
        <v>231.7</v>
      </c>
      <c r="K1177" s="10"/>
    </row>
    <row r="1178" spans="1:11" ht="51" x14ac:dyDescent="0.2">
      <c r="A1178" s="268"/>
      <c r="B1178" s="258"/>
      <c r="C1178" s="136" t="s">
        <v>1057</v>
      </c>
      <c r="D1178" s="46" t="s">
        <v>302</v>
      </c>
      <c r="E1178" s="46" t="s">
        <v>303</v>
      </c>
      <c r="F1178" s="62">
        <v>503.3</v>
      </c>
      <c r="G1178" s="62"/>
      <c r="H1178" s="62"/>
      <c r="I1178" s="62"/>
      <c r="J1178" s="62"/>
      <c r="K1178" s="10"/>
    </row>
    <row r="1179" spans="1:11" ht="51" x14ac:dyDescent="0.2">
      <c r="A1179" s="268"/>
      <c r="B1179" s="258"/>
      <c r="C1179" s="136" t="s">
        <v>1059</v>
      </c>
      <c r="D1179" s="46" t="s">
        <v>302</v>
      </c>
      <c r="E1179" s="46" t="s">
        <v>303</v>
      </c>
      <c r="F1179" s="62">
        <v>6724.8</v>
      </c>
      <c r="G1179" s="62">
        <v>7803.1</v>
      </c>
      <c r="H1179" s="62">
        <v>10543.7</v>
      </c>
      <c r="I1179" s="62">
        <v>7606.9</v>
      </c>
      <c r="J1179" s="62">
        <v>8902.5</v>
      </c>
      <c r="K1179" s="10"/>
    </row>
    <row r="1180" spans="1:11" x14ac:dyDescent="0.2">
      <c r="A1180" s="268" t="s">
        <v>1767</v>
      </c>
      <c r="B1180" s="258" t="s">
        <v>1068</v>
      </c>
      <c r="C1180" s="137" t="s">
        <v>1069</v>
      </c>
      <c r="D1180" s="135" t="s">
        <v>1055</v>
      </c>
      <c r="E1180" s="77" t="s">
        <v>1056</v>
      </c>
      <c r="F1180" s="75">
        <v>2</v>
      </c>
      <c r="G1180" s="75">
        <v>54</v>
      </c>
      <c r="H1180" s="75">
        <v>47</v>
      </c>
      <c r="I1180" s="75">
        <v>47</v>
      </c>
      <c r="J1180" s="75">
        <v>47</v>
      </c>
      <c r="K1180" s="10"/>
    </row>
    <row r="1181" spans="1:11" ht="51" x14ac:dyDescent="0.2">
      <c r="A1181" s="268"/>
      <c r="B1181" s="258"/>
      <c r="C1181" s="136" t="s">
        <v>1059</v>
      </c>
      <c r="D1181" s="46" t="s">
        <v>302</v>
      </c>
      <c r="E1181" s="46" t="s">
        <v>303</v>
      </c>
      <c r="F1181" s="62"/>
      <c r="G1181" s="62"/>
      <c r="H1181" s="62">
        <v>336.2</v>
      </c>
      <c r="I1181" s="62">
        <v>336.2</v>
      </c>
      <c r="J1181" s="62">
        <v>336.2</v>
      </c>
      <c r="K1181" s="10"/>
    </row>
    <row r="1182" spans="1:11" ht="51" x14ac:dyDescent="0.2">
      <c r="A1182" s="268"/>
      <c r="B1182" s="258"/>
      <c r="C1182" s="136" t="s">
        <v>1057</v>
      </c>
      <c r="D1182" s="46" t="s">
        <v>302</v>
      </c>
      <c r="E1182" s="46" t="s">
        <v>303</v>
      </c>
      <c r="F1182" s="62">
        <v>130.4</v>
      </c>
      <c r="G1182" s="62">
        <v>2158</v>
      </c>
      <c r="H1182" s="62">
        <v>1571.7</v>
      </c>
      <c r="I1182" s="62">
        <v>1571.7</v>
      </c>
      <c r="J1182" s="62">
        <v>1571.7</v>
      </c>
      <c r="K1182" s="10"/>
    </row>
    <row r="1183" spans="1:11" x14ac:dyDescent="0.2">
      <c r="A1183" s="268" t="s">
        <v>1768</v>
      </c>
      <c r="B1183" s="258" t="s">
        <v>1070</v>
      </c>
      <c r="C1183" s="137" t="s">
        <v>1061</v>
      </c>
      <c r="D1183" s="135" t="s">
        <v>1055</v>
      </c>
      <c r="E1183" s="77" t="s">
        <v>1056</v>
      </c>
      <c r="F1183" s="75">
        <v>5.7</v>
      </c>
      <c r="G1183" s="75"/>
      <c r="H1183" s="75"/>
      <c r="I1183" s="75"/>
      <c r="J1183" s="75"/>
      <c r="K1183" s="10"/>
    </row>
    <row r="1184" spans="1:11" ht="51" x14ac:dyDescent="0.2">
      <c r="A1184" s="268"/>
      <c r="B1184" s="258"/>
      <c r="C1184" s="136" t="s">
        <v>1059</v>
      </c>
      <c r="D1184" s="46" t="s">
        <v>302</v>
      </c>
      <c r="E1184" s="46" t="s">
        <v>303</v>
      </c>
      <c r="F1184" s="62">
        <v>230.4</v>
      </c>
      <c r="G1184" s="62"/>
      <c r="H1184" s="62"/>
      <c r="I1184" s="62"/>
      <c r="J1184" s="62"/>
      <c r="K1184" s="10"/>
    </row>
    <row r="1185" spans="1:11" x14ac:dyDescent="0.2">
      <c r="A1185" s="268" t="s">
        <v>1769</v>
      </c>
      <c r="B1185" s="258" t="s">
        <v>1071</v>
      </c>
      <c r="C1185" s="40" t="s">
        <v>1072</v>
      </c>
      <c r="D1185" s="135" t="s">
        <v>1055</v>
      </c>
      <c r="E1185" s="77" t="s">
        <v>1056</v>
      </c>
      <c r="F1185" s="75">
        <v>8</v>
      </c>
      <c r="G1185" s="75"/>
      <c r="H1185" s="75"/>
      <c r="I1185" s="75"/>
      <c r="J1185" s="75"/>
      <c r="K1185" s="10"/>
    </row>
    <row r="1186" spans="1:11" ht="51" x14ac:dyDescent="0.2">
      <c r="A1186" s="268"/>
      <c r="B1186" s="258"/>
      <c r="C1186" s="136" t="s">
        <v>1057</v>
      </c>
      <c r="D1186" s="46" t="s">
        <v>302</v>
      </c>
      <c r="E1186" s="46" t="s">
        <v>303</v>
      </c>
      <c r="F1186" s="62">
        <v>14.2</v>
      </c>
      <c r="G1186" s="62"/>
      <c r="H1186" s="62"/>
      <c r="I1186" s="62"/>
      <c r="J1186" s="62"/>
      <c r="K1186" s="10"/>
    </row>
    <row r="1187" spans="1:11" x14ac:dyDescent="0.2">
      <c r="A1187" s="268" t="s">
        <v>1770</v>
      </c>
      <c r="B1187" s="258" t="s">
        <v>1073</v>
      </c>
      <c r="C1187" s="137" t="s">
        <v>1074</v>
      </c>
      <c r="D1187" s="135" t="s">
        <v>1075</v>
      </c>
      <c r="E1187" s="77" t="s">
        <v>1075</v>
      </c>
      <c r="F1187" s="75">
        <v>10810</v>
      </c>
      <c r="G1187" s="75">
        <v>2222</v>
      </c>
      <c r="H1187" s="75">
        <v>3016</v>
      </c>
      <c r="I1187" s="75">
        <v>2106</v>
      </c>
      <c r="J1187" s="75">
        <v>2106</v>
      </c>
      <c r="K1187" s="10"/>
    </row>
    <row r="1188" spans="1:11" ht="51" x14ac:dyDescent="0.2">
      <c r="A1188" s="268"/>
      <c r="B1188" s="258"/>
      <c r="C1188" s="136" t="s">
        <v>1057</v>
      </c>
      <c r="D1188" s="46" t="s">
        <v>302</v>
      </c>
      <c r="E1188" s="46" t="s">
        <v>303</v>
      </c>
      <c r="F1188" s="62">
        <v>15295.5</v>
      </c>
      <c r="G1188" s="62">
        <v>6138.7</v>
      </c>
      <c r="H1188" s="62">
        <v>9510.7999999999993</v>
      </c>
      <c r="I1188" s="62">
        <v>7431</v>
      </c>
      <c r="J1188" s="62">
        <v>7431</v>
      </c>
      <c r="K1188" s="10"/>
    </row>
    <row r="1189" spans="1:11" ht="51" x14ac:dyDescent="0.2">
      <c r="A1189" s="268"/>
      <c r="B1189" s="258"/>
      <c r="C1189" s="136" t="s">
        <v>1076</v>
      </c>
      <c r="D1189" s="46" t="s">
        <v>302</v>
      </c>
      <c r="E1189" s="46" t="s">
        <v>303</v>
      </c>
      <c r="F1189" s="62"/>
      <c r="G1189" s="62"/>
      <c r="H1189" s="62">
        <v>311.10000000000002</v>
      </c>
      <c r="I1189" s="62">
        <v>216.4</v>
      </c>
      <c r="J1189" s="62">
        <v>207.4</v>
      </c>
      <c r="K1189" s="10"/>
    </row>
    <row r="1190" spans="1:11" ht="51" x14ac:dyDescent="0.2">
      <c r="A1190" s="268"/>
      <c r="B1190" s="258"/>
      <c r="C1190" s="136" t="s">
        <v>1059</v>
      </c>
      <c r="D1190" s="46" t="s">
        <v>302</v>
      </c>
      <c r="E1190" s="46" t="s">
        <v>303</v>
      </c>
      <c r="F1190" s="62">
        <v>2219.1</v>
      </c>
      <c r="G1190" s="62"/>
      <c r="H1190" s="62"/>
      <c r="I1190" s="62"/>
      <c r="J1190" s="62"/>
      <c r="K1190" s="10"/>
    </row>
    <row r="1191" spans="1:11" x14ac:dyDescent="0.2">
      <c r="A1191" s="268" t="s">
        <v>1771</v>
      </c>
      <c r="B1191" s="258" t="s">
        <v>1077</v>
      </c>
      <c r="C1191" s="137" t="s">
        <v>1078</v>
      </c>
      <c r="D1191" s="135" t="s">
        <v>1079</v>
      </c>
      <c r="E1191" s="77" t="s">
        <v>23</v>
      </c>
      <c r="F1191" s="75">
        <v>1487800</v>
      </c>
      <c r="G1191" s="75">
        <v>2528791</v>
      </c>
      <c r="H1191" s="75">
        <v>2340804</v>
      </c>
      <c r="I1191" s="75">
        <v>1720804</v>
      </c>
      <c r="J1191" s="75">
        <v>1720804</v>
      </c>
      <c r="K1191" s="10"/>
    </row>
    <row r="1192" spans="1:11" ht="51" x14ac:dyDescent="0.2">
      <c r="A1192" s="268"/>
      <c r="B1192" s="258"/>
      <c r="C1192" s="136" t="s">
        <v>1057</v>
      </c>
      <c r="D1192" s="46" t="s">
        <v>302</v>
      </c>
      <c r="E1192" s="46" t="s">
        <v>303</v>
      </c>
      <c r="F1192" s="62">
        <v>17352.099999999999</v>
      </c>
      <c r="G1192" s="62">
        <v>25517.3</v>
      </c>
      <c r="H1192" s="62">
        <v>21257.4</v>
      </c>
      <c r="I1192" s="62">
        <v>14791.4</v>
      </c>
      <c r="J1192" s="62">
        <v>14791.4</v>
      </c>
      <c r="K1192" s="10"/>
    </row>
    <row r="1193" spans="1:11" x14ac:dyDescent="0.2">
      <c r="A1193" s="268" t="s">
        <v>1772</v>
      </c>
      <c r="B1193" s="258" t="s">
        <v>1080</v>
      </c>
      <c r="C1193" s="137" t="s">
        <v>1081</v>
      </c>
      <c r="D1193" s="135" t="s">
        <v>1055</v>
      </c>
      <c r="E1193" s="77" t="s">
        <v>1056</v>
      </c>
      <c r="F1193" s="75">
        <v>6.3609999999999998</v>
      </c>
      <c r="G1193" s="75">
        <v>3.07</v>
      </c>
      <c r="H1193" s="75">
        <v>3.266</v>
      </c>
      <c r="I1193" s="75">
        <v>2.766</v>
      </c>
      <c r="J1193" s="75">
        <v>2.77</v>
      </c>
      <c r="K1193" s="10"/>
    </row>
    <row r="1194" spans="1:11" ht="51" x14ac:dyDescent="0.2">
      <c r="A1194" s="268"/>
      <c r="B1194" s="258"/>
      <c r="C1194" s="136" t="s">
        <v>1057</v>
      </c>
      <c r="D1194" s="46" t="s">
        <v>302</v>
      </c>
      <c r="E1194" s="46" t="s">
        <v>303</v>
      </c>
      <c r="F1194" s="62">
        <v>13690.1</v>
      </c>
      <c r="G1194" s="62">
        <v>7450.7</v>
      </c>
      <c r="H1194" s="62">
        <v>6088</v>
      </c>
      <c r="I1194" s="62">
        <v>5705.5</v>
      </c>
      <c r="J1194" s="62">
        <v>5705.5</v>
      </c>
      <c r="K1194" s="10"/>
    </row>
    <row r="1195" spans="1:11" x14ac:dyDescent="0.2">
      <c r="A1195" s="268" t="s">
        <v>1773</v>
      </c>
      <c r="B1195" s="258" t="s">
        <v>1082</v>
      </c>
      <c r="C1195" s="137" t="s">
        <v>1081</v>
      </c>
      <c r="D1195" s="135" t="s">
        <v>1055</v>
      </c>
      <c r="E1195" s="77" t="s">
        <v>1056</v>
      </c>
      <c r="F1195" s="75">
        <v>972.9</v>
      </c>
      <c r="G1195" s="75">
        <v>650</v>
      </c>
      <c r="H1195" s="75">
        <v>900</v>
      </c>
      <c r="I1195" s="75">
        <v>900</v>
      </c>
      <c r="J1195" s="75">
        <v>900</v>
      </c>
      <c r="K1195" s="10"/>
    </row>
    <row r="1196" spans="1:11" ht="51" x14ac:dyDescent="0.2">
      <c r="A1196" s="268"/>
      <c r="B1196" s="258"/>
      <c r="C1196" s="136" t="s">
        <v>1057</v>
      </c>
      <c r="D1196" s="46" t="s">
        <v>302</v>
      </c>
      <c r="E1196" s="46" t="s">
        <v>303</v>
      </c>
      <c r="F1196" s="62">
        <v>3861.5</v>
      </c>
      <c r="G1196" s="62">
        <v>2005</v>
      </c>
      <c r="H1196" s="62">
        <v>3381.1</v>
      </c>
      <c r="I1196" s="62">
        <v>3381.1</v>
      </c>
      <c r="J1196" s="62">
        <v>3381.1</v>
      </c>
      <c r="K1196" s="10"/>
    </row>
    <row r="1197" spans="1:11" x14ac:dyDescent="0.2">
      <c r="A1197" s="268" t="s">
        <v>1774</v>
      </c>
      <c r="B1197" s="258" t="s">
        <v>1083</v>
      </c>
      <c r="C1197" s="137" t="s">
        <v>1084</v>
      </c>
      <c r="D1197" s="135" t="s">
        <v>1085</v>
      </c>
      <c r="E1197" s="77" t="s">
        <v>1086</v>
      </c>
      <c r="F1197" s="75">
        <v>4960.3</v>
      </c>
      <c r="G1197" s="75">
        <v>4761.2</v>
      </c>
      <c r="H1197" s="75">
        <v>4804.8500000000004</v>
      </c>
      <c r="I1197" s="75">
        <v>4804.8500000000004</v>
      </c>
      <c r="J1197" s="75">
        <v>4804.8500000000004</v>
      </c>
      <c r="K1197" s="10"/>
    </row>
    <row r="1198" spans="1:11" ht="51" x14ac:dyDescent="0.2">
      <c r="A1198" s="268"/>
      <c r="B1198" s="258"/>
      <c r="C1198" s="136" t="s">
        <v>1087</v>
      </c>
      <c r="D1198" s="46" t="s">
        <v>302</v>
      </c>
      <c r="E1198" s="46" t="s">
        <v>303</v>
      </c>
      <c r="F1198" s="62">
        <v>5244.6</v>
      </c>
      <c r="G1198" s="62">
        <v>6026.3</v>
      </c>
      <c r="H1198" s="62">
        <v>5960</v>
      </c>
      <c r="I1198" s="62">
        <v>5960</v>
      </c>
      <c r="J1198" s="62">
        <v>5960</v>
      </c>
      <c r="K1198" s="10"/>
    </row>
    <row r="1199" spans="1:11" ht="51" x14ac:dyDescent="0.2">
      <c r="A1199" s="268"/>
      <c r="B1199" s="258"/>
      <c r="C1199" s="136" t="s">
        <v>1058</v>
      </c>
      <c r="D1199" s="46" t="s">
        <v>302</v>
      </c>
      <c r="E1199" s="46" t="s">
        <v>303</v>
      </c>
      <c r="F1199" s="62">
        <v>517</v>
      </c>
      <c r="G1199" s="62">
        <v>354.6</v>
      </c>
      <c r="H1199" s="62">
        <v>341.9</v>
      </c>
      <c r="I1199" s="62">
        <v>341.9</v>
      </c>
      <c r="J1199" s="62">
        <v>341.9</v>
      </c>
      <c r="K1199" s="10"/>
    </row>
    <row r="1200" spans="1:11" ht="51" x14ac:dyDescent="0.2">
      <c r="A1200" s="268"/>
      <c r="B1200" s="258"/>
      <c r="C1200" s="136" t="s">
        <v>1048</v>
      </c>
      <c r="D1200" s="46" t="s">
        <v>302</v>
      </c>
      <c r="E1200" s="46" t="s">
        <v>303</v>
      </c>
      <c r="F1200" s="62">
        <v>10496.8</v>
      </c>
      <c r="G1200" s="62">
        <v>12055.9</v>
      </c>
      <c r="H1200" s="62">
        <v>12005.8</v>
      </c>
      <c r="I1200" s="62">
        <v>12005.8</v>
      </c>
      <c r="J1200" s="62">
        <v>12005.8</v>
      </c>
      <c r="K1200" s="10"/>
    </row>
    <row r="1201" spans="1:11" x14ac:dyDescent="0.2">
      <c r="A1201" s="268" t="s">
        <v>1775</v>
      </c>
      <c r="B1201" s="258" t="s">
        <v>1088</v>
      </c>
      <c r="C1201" s="79" t="s">
        <v>1089</v>
      </c>
      <c r="D1201" s="135" t="s">
        <v>1055</v>
      </c>
      <c r="E1201" s="77" t="s">
        <v>1056</v>
      </c>
      <c r="F1201" s="75">
        <v>250597.27</v>
      </c>
      <c r="G1201" s="75">
        <v>249150.2</v>
      </c>
      <c r="H1201" s="75">
        <v>249087</v>
      </c>
      <c r="I1201" s="75">
        <v>249087</v>
      </c>
      <c r="J1201" s="75">
        <v>249087</v>
      </c>
      <c r="K1201" s="10"/>
    </row>
    <row r="1202" spans="1:11" ht="51" x14ac:dyDescent="0.2">
      <c r="A1202" s="268"/>
      <c r="B1202" s="258"/>
      <c r="C1202" s="136" t="s">
        <v>1087</v>
      </c>
      <c r="D1202" s="46" t="s">
        <v>302</v>
      </c>
      <c r="E1202" s="46" t="s">
        <v>303</v>
      </c>
      <c r="F1202" s="62">
        <v>33950.6</v>
      </c>
      <c r="G1202" s="62">
        <v>37169.5</v>
      </c>
      <c r="H1202" s="62">
        <v>27427</v>
      </c>
      <c r="I1202" s="62">
        <v>36258.300000000003</v>
      </c>
      <c r="J1202" s="62">
        <v>49478.6</v>
      </c>
      <c r="K1202" s="10"/>
    </row>
    <row r="1203" spans="1:11" ht="51" x14ac:dyDescent="0.2">
      <c r="A1203" s="268"/>
      <c r="B1203" s="258"/>
      <c r="C1203" s="136" t="s">
        <v>1058</v>
      </c>
      <c r="D1203" s="46" t="s">
        <v>302</v>
      </c>
      <c r="E1203" s="46" t="s">
        <v>303</v>
      </c>
      <c r="F1203" s="62">
        <v>7745.9</v>
      </c>
      <c r="G1203" s="62">
        <v>6533.8</v>
      </c>
      <c r="H1203" s="62">
        <v>11999.9</v>
      </c>
      <c r="I1203" s="62">
        <v>11999.9</v>
      </c>
      <c r="J1203" s="62">
        <v>11999.9</v>
      </c>
      <c r="K1203" s="10"/>
    </row>
    <row r="1204" spans="1:11" ht="51" x14ac:dyDescent="0.2">
      <c r="A1204" s="268"/>
      <c r="B1204" s="258"/>
      <c r="C1204" s="136" t="s">
        <v>1048</v>
      </c>
      <c r="D1204" s="46" t="s">
        <v>302</v>
      </c>
      <c r="E1204" s="46" t="s">
        <v>303</v>
      </c>
      <c r="F1204" s="62">
        <v>492</v>
      </c>
      <c r="G1204" s="62"/>
      <c r="H1204" s="62"/>
      <c r="I1204" s="62"/>
      <c r="J1204" s="62"/>
      <c r="K1204" s="10"/>
    </row>
    <row r="1205" spans="1:11" x14ac:dyDescent="0.2">
      <c r="A1205" s="268" t="s">
        <v>1776</v>
      </c>
      <c r="B1205" s="258" t="s">
        <v>1090</v>
      </c>
      <c r="C1205" s="79" t="s">
        <v>1091</v>
      </c>
      <c r="D1205" s="135" t="s">
        <v>1085</v>
      </c>
      <c r="E1205" s="77" t="s">
        <v>1092</v>
      </c>
      <c r="F1205" s="75">
        <v>513.79999999999995</v>
      </c>
      <c r="G1205" s="75">
        <v>55.98</v>
      </c>
      <c r="H1205" s="75">
        <v>115.8</v>
      </c>
      <c r="I1205" s="75">
        <v>115.8</v>
      </c>
      <c r="J1205" s="75">
        <v>115.8</v>
      </c>
      <c r="K1205" s="10"/>
    </row>
    <row r="1206" spans="1:11" ht="51" x14ac:dyDescent="0.2">
      <c r="A1206" s="268"/>
      <c r="B1206" s="258"/>
      <c r="C1206" s="136" t="s">
        <v>1087</v>
      </c>
      <c r="D1206" s="46" t="s">
        <v>302</v>
      </c>
      <c r="E1206" s="46" t="s">
        <v>303</v>
      </c>
      <c r="F1206" s="62">
        <v>770</v>
      </c>
      <c r="G1206" s="62">
        <v>283.60000000000002</v>
      </c>
      <c r="H1206" s="62">
        <v>925.9</v>
      </c>
      <c r="I1206" s="62">
        <v>925.9</v>
      </c>
      <c r="J1206" s="62">
        <v>925.9</v>
      </c>
      <c r="K1206" s="10"/>
    </row>
    <row r="1207" spans="1:11" ht="51" x14ac:dyDescent="0.2">
      <c r="A1207" s="268"/>
      <c r="B1207" s="258"/>
      <c r="C1207" s="136" t="s">
        <v>1058</v>
      </c>
      <c r="D1207" s="46" t="s">
        <v>302</v>
      </c>
      <c r="E1207" s="46" t="s">
        <v>303</v>
      </c>
      <c r="F1207" s="62">
        <v>410.6</v>
      </c>
      <c r="G1207" s="62">
        <v>12.3</v>
      </c>
      <c r="H1207" s="62">
        <v>227.1</v>
      </c>
      <c r="I1207" s="62">
        <v>227.1</v>
      </c>
      <c r="J1207" s="62">
        <v>227.1</v>
      </c>
      <c r="K1207" s="10"/>
    </row>
    <row r="1208" spans="1:11" ht="51" x14ac:dyDescent="0.2">
      <c r="A1208" s="268"/>
      <c r="B1208" s="258"/>
      <c r="C1208" s="136" t="s">
        <v>1048</v>
      </c>
      <c r="D1208" s="46" t="s">
        <v>302</v>
      </c>
      <c r="E1208" s="46" t="s">
        <v>303</v>
      </c>
      <c r="F1208" s="62">
        <v>5623.8</v>
      </c>
      <c r="G1208" s="62"/>
      <c r="H1208" s="62"/>
      <c r="I1208" s="62"/>
      <c r="J1208" s="62"/>
      <c r="K1208" s="10"/>
    </row>
    <row r="1209" spans="1:11" x14ac:dyDescent="0.2">
      <c r="A1209" s="268" t="s">
        <v>1777</v>
      </c>
      <c r="B1209" s="258" t="s">
        <v>1093</v>
      </c>
      <c r="C1209" s="137" t="s">
        <v>1094</v>
      </c>
      <c r="D1209" s="135" t="s">
        <v>1085</v>
      </c>
      <c r="E1209" s="77" t="s">
        <v>1095</v>
      </c>
      <c r="F1209" s="75">
        <v>49.7</v>
      </c>
      <c r="G1209" s="75">
        <v>26</v>
      </c>
      <c r="H1209" s="75"/>
      <c r="I1209" s="75"/>
      <c r="J1209" s="75"/>
      <c r="K1209" s="10"/>
    </row>
    <row r="1210" spans="1:11" ht="51" x14ac:dyDescent="0.2">
      <c r="A1210" s="268"/>
      <c r="B1210" s="258"/>
      <c r="C1210" s="136" t="s">
        <v>1087</v>
      </c>
      <c r="D1210" s="46" t="s">
        <v>302</v>
      </c>
      <c r="E1210" s="46" t="s">
        <v>303</v>
      </c>
      <c r="F1210" s="62">
        <v>29.6</v>
      </c>
      <c r="G1210" s="62">
        <v>207</v>
      </c>
      <c r="H1210" s="62"/>
      <c r="I1210" s="62"/>
      <c r="J1210" s="62"/>
      <c r="K1210" s="10"/>
    </row>
    <row r="1211" spans="1:11" ht="51" x14ac:dyDescent="0.2">
      <c r="A1211" s="268"/>
      <c r="B1211" s="258"/>
      <c r="C1211" s="136" t="s">
        <v>1058</v>
      </c>
      <c r="D1211" s="46" t="s">
        <v>302</v>
      </c>
      <c r="E1211" s="46" t="s">
        <v>303</v>
      </c>
      <c r="F1211" s="62">
        <v>47.1</v>
      </c>
      <c r="G1211" s="62">
        <v>36.299999999999997</v>
      </c>
      <c r="H1211" s="62"/>
      <c r="I1211" s="62"/>
      <c r="J1211" s="62"/>
      <c r="K1211" s="10"/>
    </row>
    <row r="1212" spans="1:11" x14ac:dyDescent="0.2">
      <c r="A1212" s="268" t="s">
        <v>1778</v>
      </c>
      <c r="B1212" s="258" t="s">
        <v>1096</v>
      </c>
      <c r="C1212" s="137" t="s">
        <v>1097</v>
      </c>
      <c r="D1212" s="135" t="s">
        <v>1085</v>
      </c>
      <c r="E1212" s="77" t="s">
        <v>1092</v>
      </c>
      <c r="F1212" s="75">
        <v>2.4</v>
      </c>
      <c r="G1212" s="75">
        <v>4.0999999999999996</v>
      </c>
      <c r="H1212" s="75">
        <v>6.1</v>
      </c>
      <c r="I1212" s="75">
        <v>6.1</v>
      </c>
      <c r="J1212" s="75">
        <v>6.1</v>
      </c>
      <c r="K1212" s="10"/>
    </row>
    <row r="1213" spans="1:11" ht="51" x14ac:dyDescent="0.2">
      <c r="A1213" s="268"/>
      <c r="B1213" s="258"/>
      <c r="C1213" s="136" t="s">
        <v>1087</v>
      </c>
      <c r="D1213" s="46" t="s">
        <v>302</v>
      </c>
      <c r="E1213" s="46" t="s">
        <v>303</v>
      </c>
      <c r="F1213" s="62">
        <v>15.5</v>
      </c>
      <c r="G1213" s="62">
        <v>17.2</v>
      </c>
      <c r="H1213" s="62">
        <v>24.1</v>
      </c>
      <c r="I1213" s="62">
        <v>24.1</v>
      </c>
      <c r="J1213" s="62">
        <v>24.1</v>
      </c>
      <c r="K1213" s="10"/>
    </row>
    <row r="1214" spans="1:11" x14ac:dyDescent="0.2">
      <c r="A1214" s="268" t="s">
        <v>1779</v>
      </c>
      <c r="B1214" s="258" t="s">
        <v>1098</v>
      </c>
      <c r="C1214" s="137" t="s">
        <v>1099</v>
      </c>
      <c r="D1214" s="135" t="s">
        <v>1085</v>
      </c>
      <c r="E1214" s="77" t="s">
        <v>1095</v>
      </c>
      <c r="F1214" s="75">
        <v>59</v>
      </c>
      <c r="G1214" s="75">
        <v>126.97</v>
      </c>
      <c r="H1214" s="75">
        <v>174.2</v>
      </c>
      <c r="I1214" s="75">
        <v>174.2</v>
      </c>
      <c r="J1214" s="75">
        <v>174.2</v>
      </c>
      <c r="K1214" s="10"/>
    </row>
    <row r="1215" spans="1:11" ht="51" x14ac:dyDescent="0.2">
      <c r="A1215" s="268"/>
      <c r="B1215" s="258"/>
      <c r="C1215" s="136" t="s">
        <v>1087</v>
      </c>
      <c r="D1215" s="46" t="s">
        <v>302</v>
      </c>
      <c r="E1215" s="46" t="s">
        <v>303</v>
      </c>
      <c r="F1215" s="62"/>
      <c r="G1215" s="62">
        <v>1967</v>
      </c>
      <c r="H1215" s="62">
        <v>2403.8000000000002</v>
      </c>
      <c r="I1215" s="62">
        <v>2403.8000000000002</v>
      </c>
      <c r="J1215" s="62">
        <v>2403.8000000000002</v>
      </c>
      <c r="K1215" s="10"/>
    </row>
    <row r="1216" spans="1:11" ht="51" x14ac:dyDescent="0.2">
      <c r="A1216" s="268"/>
      <c r="B1216" s="258"/>
      <c r="C1216" s="136" t="s">
        <v>1057</v>
      </c>
      <c r="D1216" s="46" t="s">
        <v>302</v>
      </c>
      <c r="E1216" s="46" t="s">
        <v>303</v>
      </c>
      <c r="F1216" s="62"/>
      <c r="G1216" s="62"/>
      <c r="H1216" s="62">
        <v>136.6</v>
      </c>
      <c r="I1216" s="62">
        <v>136.6</v>
      </c>
      <c r="J1216" s="62">
        <v>136.6</v>
      </c>
      <c r="K1216" s="10"/>
    </row>
    <row r="1217" spans="1:11" ht="51" x14ac:dyDescent="0.2">
      <c r="A1217" s="268"/>
      <c r="B1217" s="258"/>
      <c r="C1217" s="136" t="s">
        <v>1058</v>
      </c>
      <c r="D1217" s="46" t="s">
        <v>302</v>
      </c>
      <c r="E1217" s="46" t="s">
        <v>303</v>
      </c>
      <c r="F1217" s="62">
        <v>285.8</v>
      </c>
      <c r="G1217" s="62"/>
      <c r="H1217" s="62"/>
      <c r="I1217" s="62"/>
      <c r="J1217" s="62"/>
      <c r="K1217" s="10"/>
    </row>
    <row r="1218" spans="1:11" x14ac:dyDescent="0.2">
      <c r="A1218" s="268" t="s">
        <v>1780</v>
      </c>
      <c r="B1218" s="258" t="s">
        <v>1100</v>
      </c>
      <c r="C1218" s="40" t="s">
        <v>1101</v>
      </c>
      <c r="D1218" s="135" t="s">
        <v>1079</v>
      </c>
      <c r="E1218" s="77" t="s">
        <v>23</v>
      </c>
      <c r="F1218" s="75">
        <v>13</v>
      </c>
      <c r="G1218" s="75">
        <v>4</v>
      </c>
      <c r="H1218" s="75"/>
      <c r="I1218" s="75"/>
      <c r="J1218" s="75"/>
      <c r="K1218" s="10"/>
    </row>
    <row r="1219" spans="1:11" ht="51" x14ac:dyDescent="0.2">
      <c r="A1219" s="268"/>
      <c r="B1219" s="258"/>
      <c r="C1219" s="136" t="s">
        <v>1057</v>
      </c>
      <c r="D1219" s="46" t="s">
        <v>302</v>
      </c>
      <c r="E1219" s="46" t="s">
        <v>303</v>
      </c>
      <c r="F1219" s="62">
        <v>97195.6</v>
      </c>
      <c r="G1219" s="62"/>
      <c r="H1219" s="62"/>
      <c r="I1219" s="62"/>
      <c r="J1219" s="62"/>
      <c r="K1219" s="10"/>
    </row>
    <row r="1220" spans="1:11" ht="51" x14ac:dyDescent="0.2">
      <c r="A1220" s="268"/>
      <c r="B1220" s="258"/>
      <c r="C1220" s="136" t="s">
        <v>1058</v>
      </c>
      <c r="D1220" s="46" t="s">
        <v>302</v>
      </c>
      <c r="E1220" s="46" t="s">
        <v>303</v>
      </c>
      <c r="F1220" s="62">
        <v>46232.3</v>
      </c>
      <c r="G1220" s="62">
        <v>37318.660000000003</v>
      </c>
      <c r="H1220" s="62"/>
      <c r="I1220" s="62"/>
      <c r="J1220" s="62"/>
      <c r="K1220" s="10"/>
    </row>
    <row r="1221" spans="1:11" x14ac:dyDescent="0.2">
      <c r="A1221" s="268" t="s">
        <v>1781</v>
      </c>
      <c r="B1221" s="258" t="s">
        <v>1102</v>
      </c>
      <c r="C1221" s="80" t="s">
        <v>1103</v>
      </c>
      <c r="D1221" s="135" t="s">
        <v>1079</v>
      </c>
      <c r="E1221" s="77" t="s">
        <v>23</v>
      </c>
      <c r="F1221" s="75"/>
      <c r="G1221" s="75">
        <v>11</v>
      </c>
      <c r="H1221" s="75">
        <v>11</v>
      </c>
      <c r="I1221" s="75">
        <v>11</v>
      </c>
      <c r="J1221" s="75">
        <v>11</v>
      </c>
      <c r="K1221" s="10"/>
    </row>
    <row r="1222" spans="1:11" ht="51" x14ac:dyDescent="0.2">
      <c r="A1222" s="268"/>
      <c r="B1222" s="258"/>
      <c r="C1222" s="136" t="s">
        <v>1057</v>
      </c>
      <c r="D1222" s="46" t="s">
        <v>302</v>
      </c>
      <c r="E1222" s="46" t="s">
        <v>303</v>
      </c>
      <c r="F1222" s="62"/>
      <c r="G1222" s="62">
        <v>129450.6</v>
      </c>
      <c r="H1222" s="62">
        <v>174945.28899999999</v>
      </c>
      <c r="I1222" s="62">
        <v>177634.46</v>
      </c>
      <c r="J1222" s="62">
        <v>198703.04399999999</v>
      </c>
      <c r="K1222" s="10"/>
    </row>
    <row r="1223" spans="1:11" x14ac:dyDescent="0.2">
      <c r="A1223" s="268" t="s">
        <v>1782</v>
      </c>
      <c r="B1223" s="258" t="s">
        <v>1104</v>
      </c>
      <c r="C1223" s="137" t="s">
        <v>1105</v>
      </c>
      <c r="D1223" s="135" t="s">
        <v>1079</v>
      </c>
      <c r="E1223" s="77" t="s">
        <v>23</v>
      </c>
      <c r="F1223" s="75">
        <v>34</v>
      </c>
      <c r="G1223" s="75">
        <v>18</v>
      </c>
      <c r="H1223" s="75">
        <v>27</v>
      </c>
      <c r="I1223" s="75">
        <v>27</v>
      </c>
      <c r="J1223" s="75">
        <v>27</v>
      </c>
      <c r="K1223" s="10"/>
    </row>
    <row r="1224" spans="1:11" ht="51" x14ac:dyDescent="0.2">
      <c r="A1224" s="268"/>
      <c r="B1224" s="258"/>
      <c r="C1224" s="136" t="s">
        <v>1057</v>
      </c>
      <c r="D1224" s="46" t="s">
        <v>302</v>
      </c>
      <c r="E1224" s="46" t="s">
        <v>303</v>
      </c>
      <c r="F1224" s="62">
        <v>26787.3</v>
      </c>
      <c r="G1224" s="62">
        <v>16477</v>
      </c>
      <c r="H1224" s="62">
        <v>9460.6</v>
      </c>
      <c r="I1224" s="62">
        <v>9460.6</v>
      </c>
      <c r="J1224" s="62">
        <v>9460.6</v>
      </c>
      <c r="K1224" s="10"/>
    </row>
    <row r="1225" spans="1:11" ht="51" x14ac:dyDescent="0.2">
      <c r="A1225" s="268"/>
      <c r="B1225" s="258"/>
      <c r="C1225" s="136" t="s">
        <v>1058</v>
      </c>
      <c r="D1225" s="46" t="s">
        <v>302</v>
      </c>
      <c r="E1225" s="46" t="s">
        <v>303</v>
      </c>
      <c r="F1225" s="62">
        <v>188.4</v>
      </c>
      <c r="G1225" s="62">
        <v>157.30000000000001</v>
      </c>
      <c r="H1225" s="62"/>
      <c r="I1225" s="62"/>
      <c r="J1225" s="62"/>
      <c r="K1225" s="10"/>
    </row>
    <row r="1226" spans="1:11" ht="51" x14ac:dyDescent="0.2">
      <c r="A1226" s="268"/>
      <c r="B1226" s="258"/>
      <c r="C1226" s="136" t="s">
        <v>1048</v>
      </c>
      <c r="D1226" s="46" t="s">
        <v>302</v>
      </c>
      <c r="E1226" s="46" t="s">
        <v>303</v>
      </c>
      <c r="F1226" s="62">
        <v>200</v>
      </c>
      <c r="G1226" s="62"/>
      <c r="H1226" s="62"/>
      <c r="I1226" s="62"/>
      <c r="J1226" s="62"/>
      <c r="K1226" s="10"/>
    </row>
    <row r="1227" spans="1:11" x14ac:dyDescent="0.2">
      <c r="A1227" s="268" t="s">
        <v>1783</v>
      </c>
      <c r="B1227" s="258" t="s">
        <v>1106</v>
      </c>
      <c r="C1227" s="137" t="s">
        <v>1107</v>
      </c>
      <c r="D1227" s="135" t="s">
        <v>1079</v>
      </c>
      <c r="E1227" s="77" t="s">
        <v>23</v>
      </c>
      <c r="F1227" s="75">
        <v>411</v>
      </c>
      <c r="G1227" s="75">
        <v>276</v>
      </c>
      <c r="H1227" s="75">
        <v>301</v>
      </c>
      <c r="I1227" s="75">
        <v>301</v>
      </c>
      <c r="J1227" s="75">
        <v>301</v>
      </c>
      <c r="K1227" s="10"/>
    </row>
    <row r="1228" spans="1:11" ht="51" x14ac:dyDescent="0.2">
      <c r="A1228" s="268"/>
      <c r="B1228" s="258"/>
      <c r="C1228" s="136" t="s">
        <v>1087</v>
      </c>
      <c r="D1228" s="46" t="s">
        <v>302</v>
      </c>
      <c r="E1228" s="46" t="s">
        <v>303</v>
      </c>
      <c r="F1228" s="62">
        <v>4212.8</v>
      </c>
      <c r="G1228" s="62">
        <v>1646.1</v>
      </c>
      <c r="H1228" s="62">
        <v>547.70000000000005</v>
      </c>
      <c r="I1228" s="62">
        <v>547.70000000000005</v>
      </c>
      <c r="J1228" s="62">
        <v>547.70000000000005</v>
      </c>
      <c r="K1228" s="10"/>
    </row>
    <row r="1229" spans="1:11" ht="51" x14ac:dyDescent="0.2">
      <c r="A1229" s="268"/>
      <c r="B1229" s="258"/>
      <c r="C1229" s="136" t="s">
        <v>1057</v>
      </c>
      <c r="D1229" s="46" t="s">
        <v>302</v>
      </c>
      <c r="E1229" s="46" t="s">
        <v>303</v>
      </c>
      <c r="F1229" s="62"/>
      <c r="G1229" s="62">
        <v>100</v>
      </c>
      <c r="H1229" s="62">
        <v>2820.6</v>
      </c>
      <c r="I1229" s="62">
        <v>2820.6</v>
      </c>
      <c r="J1229" s="62">
        <v>2820.6</v>
      </c>
      <c r="K1229" s="10"/>
    </row>
    <row r="1230" spans="1:11" ht="51" x14ac:dyDescent="0.2">
      <c r="A1230" s="268"/>
      <c r="B1230" s="258"/>
      <c r="C1230" s="136" t="s">
        <v>1058</v>
      </c>
      <c r="D1230" s="46" t="s">
        <v>302</v>
      </c>
      <c r="E1230" s="46" t="s">
        <v>303</v>
      </c>
      <c r="F1230" s="62">
        <v>303.89999999999998</v>
      </c>
      <c r="G1230" s="62">
        <v>79.8</v>
      </c>
      <c r="H1230" s="62"/>
      <c r="I1230" s="62"/>
      <c r="J1230" s="62"/>
      <c r="K1230" s="10"/>
    </row>
    <row r="1231" spans="1:11" x14ac:dyDescent="0.2">
      <c r="A1231" s="268" t="s">
        <v>1784</v>
      </c>
      <c r="B1231" s="258" t="s">
        <v>1108</v>
      </c>
      <c r="C1231" s="137" t="s">
        <v>1109</v>
      </c>
      <c r="D1231" s="135" t="s">
        <v>1079</v>
      </c>
      <c r="E1231" s="77" t="s">
        <v>23</v>
      </c>
      <c r="F1231" s="75"/>
      <c r="G1231" s="75">
        <v>184</v>
      </c>
      <c r="H1231" s="75">
        <v>298</v>
      </c>
      <c r="I1231" s="75">
        <v>298</v>
      </c>
      <c r="J1231" s="75">
        <v>298</v>
      </c>
      <c r="K1231" s="10"/>
    </row>
    <row r="1232" spans="1:11" ht="51" x14ac:dyDescent="0.2">
      <c r="A1232" s="268"/>
      <c r="B1232" s="258"/>
      <c r="C1232" s="136" t="s">
        <v>1057</v>
      </c>
      <c r="D1232" s="46" t="s">
        <v>302</v>
      </c>
      <c r="E1232" s="46" t="s">
        <v>303</v>
      </c>
      <c r="F1232" s="62"/>
      <c r="G1232" s="62">
        <v>198</v>
      </c>
      <c r="H1232" s="62">
        <v>103.4</v>
      </c>
      <c r="I1232" s="62">
        <v>103.4</v>
      </c>
      <c r="J1232" s="62">
        <v>103.4</v>
      </c>
      <c r="K1232" s="10"/>
    </row>
    <row r="1233" spans="1:11" ht="51" x14ac:dyDescent="0.2">
      <c r="A1233" s="268"/>
      <c r="B1233" s="258"/>
      <c r="C1233" s="136" t="s">
        <v>1087</v>
      </c>
      <c r="D1233" s="46" t="s">
        <v>302</v>
      </c>
      <c r="E1233" s="46" t="s">
        <v>303</v>
      </c>
      <c r="F1233" s="62"/>
      <c r="G1233" s="62">
        <v>872.1</v>
      </c>
      <c r="H1233" s="62">
        <v>1255.9000000000001</v>
      </c>
      <c r="I1233" s="62">
        <v>1255.9000000000001</v>
      </c>
      <c r="J1233" s="62">
        <v>1255.9000000000001</v>
      </c>
      <c r="K1233" s="10"/>
    </row>
    <row r="1234" spans="1:11" x14ac:dyDescent="0.2">
      <c r="A1234" s="268" t="s">
        <v>1785</v>
      </c>
      <c r="B1234" s="258" t="s">
        <v>1110</v>
      </c>
      <c r="C1234" s="137" t="s">
        <v>1111</v>
      </c>
      <c r="D1234" s="135" t="s">
        <v>1079</v>
      </c>
      <c r="E1234" s="77" t="s">
        <v>23</v>
      </c>
      <c r="F1234" s="75">
        <v>1434</v>
      </c>
      <c r="G1234" s="75">
        <v>745</v>
      </c>
      <c r="H1234" s="75">
        <v>881</v>
      </c>
      <c r="I1234" s="75">
        <v>881</v>
      </c>
      <c r="J1234" s="75">
        <v>881</v>
      </c>
      <c r="K1234" s="10"/>
    </row>
    <row r="1235" spans="1:11" ht="51" x14ac:dyDescent="0.2">
      <c r="A1235" s="268"/>
      <c r="B1235" s="258"/>
      <c r="C1235" s="136" t="s">
        <v>1087</v>
      </c>
      <c r="D1235" s="46" t="s">
        <v>302</v>
      </c>
      <c r="E1235" s="46" t="s">
        <v>303</v>
      </c>
      <c r="F1235" s="62">
        <v>4178.2</v>
      </c>
      <c r="G1235" s="62">
        <v>2895</v>
      </c>
      <c r="H1235" s="62">
        <v>3427.8</v>
      </c>
      <c r="I1235" s="62">
        <v>3427.8</v>
      </c>
      <c r="J1235" s="62">
        <v>3427.8</v>
      </c>
      <c r="K1235" s="10"/>
    </row>
    <row r="1236" spans="1:11" ht="51" x14ac:dyDescent="0.2">
      <c r="A1236" s="268"/>
      <c r="B1236" s="258"/>
      <c r="C1236" s="136" t="s">
        <v>1057</v>
      </c>
      <c r="D1236" s="46" t="s">
        <v>302</v>
      </c>
      <c r="E1236" s="46" t="s">
        <v>303</v>
      </c>
      <c r="F1236" s="62"/>
      <c r="G1236" s="62">
        <v>549.4</v>
      </c>
      <c r="H1236" s="62">
        <v>696.5</v>
      </c>
      <c r="I1236" s="62">
        <v>696.5</v>
      </c>
      <c r="J1236" s="62">
        <v>696.5</v>
      </c>
      <c r="K1236" s="10"/>
    </row>
    <row r="1237" spans="1:11" ht="51" x14ac:dyDescent="0.2">
      <c r="A1237" s="268"/>
      <c r="B1237" s="258"/>
      <c r="C1237" s="136" t="s">
        <v>1058</v>
      </c>
      <c r="D1237" s="46" t="s">
        <v>302</v>
      </c>
      <c r="E1237" s="46" t="s">
        <v>303</v>
      </c>
      <c r="F1237" s="62">
        <v>1868.8</v>
      </c>
      <c r="G1237" s="62">
        <v>111.5</v>
      </c>
      <c r="H1237" s="62"/>
      <c r="I1237" s="62"/>
      <c r="J1237" s="62"/>
      <c r="K1237" s="10"/>
    </row>
    <row r="1238" spans="1:11" ht="51" x14ac:dyDescent="0.2">
      <c r="A1238" s="268"/>
      <c r="B1238" s="258"/>
      <c r="C1238" s="136" t="s">
        <v>1048</v>
      </c>
      <c r="D1238" s="46" t="s">
        <v>302</v>
      </c>
      <c r="E1238" s="46" t="s">
        <v>303</v>
      </c>
      <c r="F1238" s="62">
        <v>5758.6</v>
      </c>
      <c r="G1238" s="62">
        <v>4253</v>
      </c>
      <c r="H1238" s="62">
        <v>4196.1000000000004</v>
      </c>
      <c r="I1238" s="62">
        <v>4196.1000000000004</v>
      </c>
      <c r="J1238" s="62">
        <v>4196.1000000000004</v>
      </c>
      <c r="K1238" s="10"/>
    </row>
    <row r="1239" spans="1:11" x14ac:dyDescent="0.2">
      <c r="A1239" s="268" t="s">
        <v>1786</v>
      </c>
      <c r="B1239" s="258" t="s">
        <v>1112</v>
      </c>
      <c r="C1239" s="137" t="s">
        <v>1113</v>
      </c>
      <c r="D1239" s="135" t="s">
        <v>1079</v>
      </c>
      <c r="E1239" s="77" t="s">
        <v>23</v>
      </c>
      <c r="F1239" s="75">
        <v>20</v>
      </c>
      <c r="G1239" s="75">
        <v>11000</v>
      </c>
      <c r="H1239" s="75">
        <v>21000</v>
      </c>
      <c r="I1239" s="75">
        <v>21000</v>
      </c>
      <c r="J1239" s="75">
        <v>21000</v>
      </c>
      <c r="K1239" s="10"/>
    </row>
    <row r="1240" spans="1:11" ht="51" x14ac:dyDescent="0.2">
      <c r="A1240" s="268"/>
      <c r="B1240" s="258"/>
      <c r="C1240" s="136" t="s">
        <v>1057</v>
      </c>
      <c r="D1240" s="46" t="s">
        <v>302</v>
      </c>
      <c r="E1240" s="46" t="s">
        <v>303</v>
      </c>
      <c r="F1240" s="62"/>
      <c r="G1240" s="62">
        <v>1511</v>
      </c>
      <c r="H1240" s="62"/>
      <c r="I1240" s="62"/>
      <c r="J1240" s="62"/>
      <c r="K1240" s="10"/>
    </row>
    <row r="1241" spans="1:11" ht="51" x14ac:dyDescent="0.2">
      <c r="A1241" s="268"/>
      <c r="B1241" s="258"/>
      <c r="C1241" s="136" t="s">
        <v>1087</v>
      </c>
      <c r="D1241" s="46" t="s">
        <v>302</v>
      </c>
      <c r="E1241" s="46" t="s">
        <v>303</v>
      </c>
      <c r="F1241" s="62">
        <v>50</v>
      </c>
      <c r="G1241" s="62"/>
      <c r="H1241" s="62">
        <v>1747.3</v>
      </c>
      <c r="I1241" s="62">
        <v>1747.3</v>
      </c>
      <c r="J1241" s="62">
        <v>1747.3</v>
      </c>
      <c r="K1241" s="10"/>
    </row>
    <row r="1242" spans="1:11" x14ac:dyDescent="0.2">
      <c r="A1242" s="268" t="s">
        <v>1787</v>
      </c>
      <c r="B1242" s="258" t="s">
        <v>1114</v>
      </c>
      <c r="C1242" s="137" t="s">
        <v>1115</v>
      </c>
      <c r="D1242" s="135" t="s">
        <v>336</v>
      </c>
      <c r="E1242" s="77" t="s">
        <v>336</v>
      </c>
      <c r="F1242" s="75"/>
      <c r="G1242" s="75">
        <v>16</v>
      </c>
      <c r="H1242" s="75">
        <v>25</v>
      </c>
      <c r="I1242" s="75">
        <v>25</v>
      </c>
      <c r="J1242" s="75">
        <v>25</v>
      </c>
      <c r="K1242" s="10"/>
    </row>
    <row r="1243" spans="1:11" ht="51" x14ac:dyDescent="0.2">
      <c r="A1243" s="268"/>
      <c r="B1243" s="258"/>
      <c r="C1243" s="136" t="s">
        <v>1087</v>
      </c>
      <c r="D1243" s="46" t="s">
        <v>302</v>
      </c>
      <c r="E1243" s="46" t="s">
        <v>303</v>
      </c>
      <c r="F1243" s="62"/>
      <c r="G1243" s="62">
        <v>629.5</v>
      </c>
      <c r="H1243" s="62">
        <v>566.79999999999995</v>
      </c>
      <c r="I1243" s="62">
        <v>566.79999999999995</v>
      </c>
      <c r="J1243" s="62">
        <v>566.79999999999995</v>
      </c>
      <c r="K1243" s="10"/>
    </row>
    <row r="1244" spans="1:11" ht="51" x14ac:dyDescent="0.2">
      <c r="A1244" s="268"/>
      <c r="B1244" s="258"/>
      <c r="C1244" s="136" t="s">
        <v>1057</v>
      </c>
      <c r="D1244" s="46" t="s">
        <v>302</v>
      </c>
      <c r="E1244" s="46" t="s">
        <v>303</v>
      </c>
      <c r="F1244" s="62"/>
      <c r="G1244" s="62">
        <v>4108.7</v>
      </c>
      <c r="H1244" s="62">
        <v>9646.7999999999993</v>
      </c>
      <c r="I1244" s="62">
        <v>9646.7999999999993</v>
      </c>
      <c r="J1244" s="62">
        <v>9646.7999999999993</v>
      </c>
      <c r="K1244" s="10"/>
    </row>
    <row r="1245" spans="1:11" x14ac:dyDescent="0.2">
      <c r="A1245" s="268" t="s">
        <v>1788</v>
      </c>
      <c r="B1245" s="258" t="s">
        <v>1116</v>
      </c>
      <c r="C1245" s="137" t="s">
        <v>1117</v>
      </c>
      <c r="D1245" s="135" t="s">
        <v>1055</v>
      </c>
      <c r="E1245" s="77" t="s">
        <v>1056</v>
      </c>
      <c r="F1245" s="75">
        <v>488.6</v>
      </c>
      <c r="G1245" s="75">
        <v>172.3</v>
      </c>
      <c r="H1245" s="75">
        <v>172.83</v>
      </c>
      <c r="I1245" s="75">
        <v>172.8</v>
      </c>
      <c r="J1245" s="75">
        <v>172.8</v>
      </c>
      <c r="K1245" s="10"/>
    </row>
    <row r="1246" spans="1:11" ht="51" x14ac:dyDescent="0.2">
      <c r="A1246" s="268"/>
      <c r="B1246" s="258"/>
      <c r="C1246" s="136" t="s">
        <v>1087</v>
      </c>
      <c r="D1246" s="46" t="s">
        <v>302</v>
      </c>
      <c r="E1246" s="46" t="s">
        <v>303</v>
      </c>
      <c r="F1246" s="62">
        <v>2438.5</v>
      </c>
      <c r="G1246" s="62">
        <v>169.6</v>
      </c>
      <c r="H1246" s="62">
        <v>467.1</v>
      </c>
      <c r="I1246" s="62">
        <v>467.1</v>
      </c>
      <c r="J1246" s="62">
        <v>467.1</v>
      </c>
      <c r="K1246" s="10"/>
    </row>
    <row r="1247" spans="1:11" ht="51" x14ac:dyDescent="0.2">
      <c r="A1247" s="268"/>
      <c r="B1247" s="258"/>
      <c r="C1247" s="136" t="s">
        <v>1118</v>
      </c>
      <c r="D1247" s="46" t="s">
        <v>302</v>
      </c>
      <c r="E1247" s="46" t="s">
        <v>303</v>
      </c>
      <c r="F1247" s="62"/>
      <c r="G1247" s="62">
        <v>5138.7</v>
      </c>
      <c r="H1247" s="62"/>
      <c r="I1247" s="62"/>
      <c r="J1247" s="62"/>
      <c r="K1247" s="10"/>
    </row>
    <row r="1248" spans="1:11" ht="51" x14ac:dyDescent="0.2">
      <c r="A1248" s="268"/>
      <c r="B1248" s="258"/>
      <c r="C1248" s="136" t="s">
        <v>1058</v>
      </c>
      <c r="D1248" s="46" t="s">
        <v>302</v>
      </c>
      <c r="E1248" s="46" t="s">
        <v>303</v>
      </c>
      <c r="F1248" s="62">
        <v>484.1</v>
      </c>
      <c r="G1248" s="62"/>
      <c r="H1248" s="62"/>
      <c r="I1248" s="62"/>
      <c r="J1248" s="62"/>
      <c r="K1248" s="10"/>
    </row>
    <row r="1249" spans="1:11" ht="25.5" x14ac:dyDescent="0.2">
      <c r="A1249" s="268" t="s">
        <v>1789</v>
      </c>
      <c r="B1249" s="258" t="s">
        <v>1119</v>
      </c>
      <c r="C1249" s="137" t="s">
        <v>1120</v>
      </c>
      <c r="D1249" s="135" t="s">
        <v>1121</v>
      </c>
      <c r="E1249" s="77" t="s">
        <v>23</v>
      </c>
      <c r="F1249" s="75">
        <v>9</v>
      </c>
      <c r="G1249" s="75">
        <v>5</v>
      </c>
      <c r="H1249" s="75">
        <v>7</v>
      </c>
      <c r="I1249" s="75">
        <v>7</v>
      </c>
      <c r="J1249" s="75">
        <v>7</v>
      </c>
      <c r="K1249" s="10"/>
    </row>
    <row r="1250" spans="1:11" ht="51" x14ac:dyDescent="0.2">
      <c r="A1250" s="268"/>
      <c r="B1250" s="258"/>
      <c r="C1250" s="136" t="s">
        <v>1057</v>
      </c>
      <c r="D1250" s="46" t="s">
        <v>302</v>
      </c>
      <c r="E1250" s="46" t="s">
        <v>303</v>
      </c>
      <c r="F1250" s="62">
        <v>2284.6999999999998</v>
      </c>
      <c r="G1250" s="62">
        <v>1578.2</v>
      </c>
      <c r="H1250" s="62">
        <v>2167.8000000000002</v>
      </c>
      <c r="I1250" s="62">
        <v>2167.8000000000002</v>
      </c>
      <c r="J1250" s="62">
        <v>2167.8000000000002</v>
      </c>
      <c r="K1250" s="10"/>
    </row>
    <row r="1251" spans="1:11" ht="51" x14ac:dyDescent="0.2">
      <c r="A1251" s="268"/>
      <c r="B1251" s="258"/>
      <c r="C1251" s="136" t="s">
        <v>1058</v>
      </c>
      <c r="D1251" s="46" t="s">
        <v>302</v>
      </c>
      <c r="E1251" s="46" t="s">
        <v>303</v>
      </c>
      <c r="F1251" s="62">
        <v>400</v>
      </c>
      <c r="G1251" s="62"/>
      <c r="H1251" s="62"/>
      <c r="I1251" s="62"/>
      <c r="J1251" s="62"/>
      <c r="K1251" s="10"/>
    </row>
    <row r="1252" spans="1:11" ht="51" x14ac:dyDescent="0.2">
      <c r="A1252" s="268"/>
      <c r="B1252" s="258"/>
      <c r="C1252" s="136" t="s">
        <v>1122</v>
      </c>
      <c r="D1252" s="46" t="s">
        <v>302</v>
      </c>
      <c r="E1252" s="46" t="s">
        <v>303</v>
      </c>
      <c r="F1252" s="62"/>
      <c r="G1252" s="62">
        <v>1150</v>
      </c>
      <c r="H1252" s="62"/>
      <c r="I1252" s="62"/>
      <c r="J1252" s="62"/>
      <c r="K1252" s="10"/>
    </row>
    <row r="1253" spans="1:11" x14ac:dyDescent="0.2">
      <c r="A1253" s="268" t="s">
        <v>1790</v>
      </c>
      <c r="B1253" s="258" t="s">
        <v>1123</v>
      </c>
      <c r="C1253" s="137" t="s">
        <v>1124</v>
      </c>
      <c r="D1253" s="135" t="s">
        <v>1055</v>
      </c>
      <c r="E1253" s="77" t="s">
        <v>1056</v>
      </c>
      <c r="F1253" s="75">
        <v>25.6</v>
      </c>
      <c r="G1253" s="75">
        <v>25</v>
      </c>
      <c r="H1253" s="75">
        <v>25</v>
      </c>
      <c r="I1253" s="75">
        <v>25</v>
      </c>
      <c r="J1253" s="75">
        <v>25</v>
      </c>
      <c r="K1253" s="10"/>
    </row>
    <row r="1254" spans="1:11" ht="51" x14ac:dyDescent="0.2">
      <c r="A1254" s="268"/>
      <c r="B1254" s="258"/>
      <c r="C1254" s="136" t="s">
        <v>1059</v>
      </c>
      <c r="D1254" s="46" t="s">
        <v>302</v>
      </c>
      <c r="E1254" s="46" t="s">
        <v>303</v>
      </c>
      <c r="F1254" s="62">
        <v>5909.4</v>
      </c>
      <c r="G1254" s="62"/>
      <c r="H1254" s="62">
        <v>4269.1000000000004</v>
      </c>
      <c r="I1254" s="62">
        <v>4269.1000000000004</v>
      </c>
      <c r="J1254" s="62">
        <v>4269.1000000000004</v>
      </c>
      <c r="K1254" s="10"/>
    </row>
    <row r="1255" spans="1:11" ht="51" x14ac:dyDescent="0.2">
      <c r="A1255" s="268"/>
      <c r="B1255" s="258"/>
      <c r="C1255" s="136" t="s">
        <v>1057</v>
      </c>
      <c r="D1255" s="46" t="s">
        <v>302</v>
      </c>
      <c r="E1255" s="46" t="s">
        <v>303</v>
      </c>
      <c r="F1255" s="62"/>
      <c r="G1255" s="62">
        <v>2850</v>
      </c>
      <c r="H1255" s="62"/>
      <c r="I1255" s="62"/>
      <c r="J1255" s="62"/>
      <c r="K1255" s="10"/>
    </row>
    <row r="1256" spans="1:11" x14ac:dyDescent="0.2">
      <c r="A1256" s="268" t="s">
        <v>1791</v>
      </c>
      <c r="B1256" s="258" t="s">
        <v>1125</v>
      </c>
      <c r="C1256" s="137" t="s">
        <v>1126</v>
      </c>
      <c r="D1256" s="135" t="s">
        <v>1055</v>
      </c>
      <c r="E1256" s="77" t="s">
        <v>1056</v>
      </c>
      <c r="F1256" s="75">
        <v>109.75</v>
      </c>
      <c r="G1256" s="75">
        <v>44</v>
      </c>
      <c r="H1256" s="75">
        <v>59.4</v>
      </c>
      <c r="I1256" s="75">
        <v>59.4</v>
      </c>
      <c r="J1256" s="75">
        <v>59.4</v>
      </c>
      <c r="K1256" s="10"/>
    </row>
    <row r="1257" spans="1:11" ht="51" x14ac:dyDescent="0.2">
      <c r="A1257" s="268"/>
      <c r="B1257" s="258"/>
      <c r="C1257" s="136" t="s">
        <v>1057</v>
      </c>
      <c r="D1257" s="46" t="s">
        <v>302</v>
      </c>
      <c r="E1257" s="46" t="s">
        <v>303</v>
      </c>
      <c r="F1257" s="62">
        <v>6875.8</v>
      </c>
      <c r="G1257" s="62">
        <v>2401.6</v>
      </c>
      <c r="H1257" s="62">
        <v>5337.1</v>
      </c>
      <c r="I1257" s="62">
        <v>5337.1</v>
      </c>
      <c r="J1257" s="62">
        <v>5337.1</v>
      </c>
      <c r="K1257" s="10"/>
    </row>
    <row r="1258" spans="1:11" x14ac:dyDescent="0.2">
      <c r="A1258" s="268" t="s">
        <v>1792</v>
      </c>
      <c r="B1258" s="258" t="s">
        <v>1127</v>
      </c>
      <c r="C1258" s="137" t="s">
        <v>1128</v>
      </c>
      <c r="D1258" s="135" t="s">
        <v>1055</v>
      </c>
      <c r="E1258" s="77" t="s">
        <v>1056</v>
      </c>
      <c r="F1258" s="75">
        <v>1032.4000000000001</v>
      </c>
      <c r="G1258" s="75">
        <v>437.7</v>
      </c>
      <c r="H1258" s="75">
        <v>939.3</v>
      </c>
      <c r="I1258" s="75">
        <v>939.3</v>
      </c>
      <c r="J1258" s="75">
        <v>939.3</v>
      </c>
      <c r="K1258" s="10"/>
    </row>
    <row r="1259" spans="1:11" ht="51" x14ac:dyDescent="0.2">
      <c r="A1259" s="268"/>
      <c r="B1259" s="258"/>
      <c r="C1259" s="136" t="s">
        <v>1057</v>
      </c>
      <c r="D1259" s="46" t="s">
        <v>302</v>
      </c>
      <c r="E1259" s="46" t="s">
        <v>303</v>
      </c>
      <c r="F1259" s="62">
        <v>15231.4</v>
      </c>
      <c r="G1259" s="62">
        <v>10020.4</v>
      </c>
      <c r="H1259" s="62">
        <v>9089.5</v>
      </c>
      <c r="I1259" s="62">
        <v>9089.5</v>
      </c>
      <c r="J1259" s="62">
        <v>9089.5</v>
      </c>
      <c r="K1259" s="10"/>
    </row>
    <row r="1260" spans="1:11" ht="51" x14ac:dyDescent="0.2">
      <c r="A1260" s="268"/>
      <c r="B1260" s="258"/>
      <c r="C1260" s="136" t="s">
        <v>1059</v>
      </c>
      <c r="D1260" s="46" t="s">
        <v>302</v>
      </c>
      <c r="E1260" s="46" t="s">
        <v>303</v>
      </c>
      <c r="F1260" s="62">
        <v>100.1</v>
      </c>
      <c r="G1260" s="62"/>
      <c r="H1260" s="62">
        <v>106.1</v>
      </c>
      <c r="I1260" s="62">
        <v>106.1</v>
      </c>
      <c r="J1260" s="62">
        <v>106.1</v>
      </c>
      <c r="K1260" s="10"/>
    </row>
    <row r="1261" spans="1:11" x14ac:dyDescent="0.2">
      <c r="A1261" s="268" t="s">
        <v>1793</v>
      </c>
      <c r="B1261" s="258" t="s">
        <v>1129</v>
      </c>
      <c r="C1261" s="40" t="s">
        <v>1130</v>
      </c>
      <c r="D1261" s="135" t="s">
        <v>1131</v>
      </c>
      <c r="E1261" s="77" t="s">
        <v>336</v>
      </c>
      <c r="F1261" s="75">
        <v>3784</v>
      </c>
      <c r="G1261" s="75">
        <v>3048</v>
      </c>
      <c r="H1261" s="75"/>
      <c r="I1261" s="75"/>
      <c r="J1261" s="75"/>
      <c r="K1261" s="10"/>
    </row>
    <row r="1262" spans="1:11" ht="51" x14ac:dyDescent="0.2">
      <c r="A1262" s="268"/>
      <c r="B1262" s="258"/>
      <c r="C1262" s="136" t="s">
        <v>1132</v>
      </c>
      <c r="D1262" s="46" t="s">
        <v>302</v>
      </c>
      <c r="E1262" s="46" t="s">
        <v>303</v>
      </c>
      <c r="F1262" s="62">
        <v>21425.5</v>
      </c>
      <c r="G1262" s="62">
        <v>17257.3</v>
      </c>
      <c r="H1262" s="62"/>
      <c r="I1262" s="62"/>
      <c r="J1262" s="62"/>
      <c r="K1262" s="10"/>
    </row>
    <row r="1263" spans="1:11" ht="25.5" x14ac:dyDescent="0.2">
      <c r="A1263" s="268" t="s">
        <v>1794</v>
      </c>
      <c r="B1263" s="258" t="s">
        <v>1133</v>
      </c>
      <c r="C1263" s="137" t="s">
        <v>1134</v>
      </c>
      <c r="D1263" s="135" t="s">
        <v>738</v>
      </c>
      <c r="E1263" s="77" t="s">
        <v>23</v>
      </c>
      <c r="F1263" s="75">
        <v>86</v>
      </c>
      <c r="G1263" s="75">
        <v>86</v>
      </c>
      <c r="H1263" s="75">
        <v>80</v>
      </c>
      <c r="I1263" s="75">
        <v>80</v>
      </c>
      <c r="J1263" s="75">
        <v>80</v>
      </c>
      <c r="K1263" s="10"/>
    </row>
    <row r="1264" spans="1:11" ht="51" x14ac:dyDescent="0.2">
      <c r="A1264" s="268"/>
      <c r="B1264" s="258"/>
      <c r="C1264" s="136" t="s">
        <v>1057</v>
      </c>
      <c r="D1264" s="46" t="s">
        <v>302</v>
      </c>
      <c r="E1264" s="46" t="s">
        <v>303</v>
      </c>
      <c r="F1264" s="62">
        <v>37.799999999999997</v>
      </c>
      <c r="G1264" s="62">
        <v>68</v>
      </c>
      <c r="H1264" s="62">
        <v>68</v>
      </c>
      <c r="I1264" s="62">
        <v>68</v>
      </c>
      <c r="J1264" s="62">
        <v>68</v>
      </c>
      <c r="K1264" s="10"/>
    </row>
    <row r="1265" spans="1:11" ht="51" x14ac:dyDescent="0.2">
      <c r="A1265" s="268"/>
      <c r="B1265" s="258"/>
      <c r="C1265" s="136" t="s">
        <v>1058</v>
      </c>
      <c r="D1265" s="46" t="s">
        <v>302</v>
      </c>
      <c r="E1265" s="46" t="s">
        <v>303</v>
      </c>
      <c r="F1265" s="62">
        <v>60.7</v>
      </c>
      <c r="G1265" s="62">
        <v>155.9</v>
      </c>
      <c r="H1265" s="62">
        <v>156.80000000000001</v>
      </c>
      <c r="I1265" s="62">
        <v>156.80000000000001</v>
      </c>
      <c r="J1265" s="62">
        <v>156.80000000000001</v>
      </c>
      <c r="K1265" s="10"/>
    </row>
    <row r="1266" spans="1:11" x14ac:dyDescent="0.2">
      <c r="A1266" s="268" t="s">
        <v>1795</v>
      </c>
      <c r="B1266" s="258" t="s">
        <v>1135</v>
      </c>
      <c r="C1266" s="137" t="s">
        <v>1136</v>
      </c>
      <c r="D1266" s="135" t="s">
        <v>844</v>
      </c>
      <c r="E1266" s="77" t="s">
        <v>23</v>
      </c>
      <c r="F1266" s="75">
        <v>100</v>
      </c>
      <c r="G1266" s="75">
        <v>100</v>
      </c>
      <c r="H1266" s="75">
        <v>658</v>
      </c>
      <c r="I1266" s="75">
        <v>658</v>
      </c>
      <c r="J1266" s="75">
        <v>658</v>
      </c>
      <c r="K1266" s="10"/>
    </row>
    <row r="1267" spans="1:11" ht="51" x14ac:dyDescent="0.2">
      <c r="A1267" s="268"/>
      <c r="B1267" s="258"/>
      <c r="C1267" s="136" t="s">
        <v>1057</v>
      </c>
      <c r="D1267" s="46" t="s">
        <v>302</v>
      </c>
      <c r="E1267" s="46" t="s">
        <v>303</v>
      </c>
      <c r="F1267" s="62">
        <v>449.8</v>
      </c>
      <c r="G1267" s="62">
        <v>663.3</v>
      </c>
      <c r="H1267" s="62">
        <v>2124.6</v>
      </c>
      <c r="I1267" s="62">
        <v>2124.6</v>
      </c>
      <c r="J1267" s="62">
        <v>2124.6</v>
      </c>
      <c r="K1267" s="10"/>
    </row>
    <row r="1268" spans="1:11" x14ac:dyDescent="0.2">
      <c r="A1268" s="268" t="s">
        <v>1796</v>
      </c>
      <c r="B1268" s="258" t="s">
        <v>1137</v>
      </c>
      <c r="C1268" s="137" t="s">
        <v>1138</v>
      </c>
      <c r="D1268" s="135" t="s">
        <v>1139</v>
      </c>
      <c r="E1268" s="77" t="s">
        <v>23</v>
      </c>
      <c r="F1268" s="75">
        <v>67</v>
      </c>
      <c r="G1268" s="75">
        <v>67</v>
      </c>
      <c r="H1268" s="75">
        <v>67</v>
      </c>
      <c r="I1268" s="75">
        <v>67</v>
      </c>
      <c r="J1268" s="75">
        <v>67</v>
      </c>
      <c r="K1268" s="10"/>
    </row>
    <row r="1269" spans="1:11" ht="51" x14ac:dyDescent="0.2">
      <c r="A1269" s="268"/>
      <c r="B1269" s="258"/>
      <c r="C1269" s="136" t="s">
        <v>1140</v>
      </c>
      <c r="D1269" s="46" t="s">
        <v>302</v>
      </c>
      <c r="E1269" s="46" t="s">
        <v>303</v>
      </c>
      <c r="F1269" s="62">
        <v>840</v>
      </c>
      <c r="G1269" s="62">
        <v>840</v>
      </c>
      <c r="H1269" s="62">
        <v>840</v>
      </c>
      <c r="I1269" s="62">
        <v>840</v>
      </c>
      <c r="J1269" s="62">
        <v>840</v>
      </c>
      <c r="K1269" s="10"/>
    </row>
    <row r="1270" spans="1:11" x14ac:dyDescent="0.2">
      <c r="A1270" s="268" t="s">
        <v>1797</v>
      </c>
      <c r="B1270" s="258" t="s">
        <v>1141</v>
      </c>
      <c r="C1270" s="137" t="s">
        <v>1142</v>
      </c>
      <c r="D1270" s="135" t="s">
        <v>844</v>
      </c>
      <c r="E1270" s="77" t="s">
        <v>23</v>
      </c>
      <c r="F1270" s="75">
        <v>14</v>
      </c>
      <c r="G1270" s="75">
        <v>14</v>
      </c>
      <c r="H1270" s="75">
        <v>14</v>
      </c>
      <c r="I1270" s="75">
        <v>14</v>
      </c>
      <c r="J1270" s="75">
        <v>14</v>
      </c>
      <c r="K1270" s="10"/>
    </row>
    <row r="1271" spans="1:11" ht="51" x14ac:dyDescent="0.2">
      <c r="A1271" s="268"/>
      <c r="B1271" s="258"/>
      <c r="C1271" s="136" t="s">
        <v>1143</v>
      </c>
      <c r="D1271" s="46" t="s">
        <v>302</v>
      </c>
      <c r="E1271" s="46" t="s">
        <v>303</v>
      </c>
      <c r="F1271" s="62">
        <v>121.2</v>
      </c>
      <c r="G1271" s="62">
        <v>121.2</v>
      </c>
      <c r="H1271" s="62">
        <v>103.5</v>
      </c>
      <c r="I1271" s="62">
        <v>103.5</v>
      </c>
      <c r="J1271" s="62">
        <v>103.5</v>
      </c>
      <c r="K1271" s="10"/>
    </row>
    <row r="1272" spans="1:11" x14ac:dyDescent="0.2">
      <c r="A1272" s="268" t="s">
        <v>1798</v>
      </c>
      <c r="B1272" s="258" t="s">
        <v>1144</v>
      </c>
      <c r="C1272" s="137" t="s">
        <v>1145</v>
      </c>
      <c r="D1272" s="135" t="s">
        <v>1055</v>
      </c>
      <c r="E1272" s="77" t="s">
        <v>1056</v>
      </c>
      <c r="F1272" s="75"/>
      <c r="G1272" s="75">
        <v>100</v>
      </c>
      <c r="H1272" s="75">
        <v>100</v>
      </c>
      <c r="I1272" s="75">
        <v>100</v>
      </c>
      <c r="J1272" s="75"/>
      <c r="K1272" s="10"/>
    </row>
    <row r="1273" spans="1:11" ht="51" x14ac:dyDescent="0.2">
      <c r="A1273" s="268"/>
      <c r="B1273" s="258"/>
      <c r="C1273" s="136" t="s">
        <v>1057</v>
      </c>
      <c r="D1273" s="46" t="s">
        <v>302</v>
      </c>
      <c r="E1273" s="46" t="s">
        <v>303</v>
      </c>
      <c r="F1273" s="62"/>
      <c r="G1273" s="62">
        <v>6150.1</v>
      </c>
      <c r="H1273" s="62">
        <v>4912</v>
      </c>
      <c r="I1273" s="62">
        <v>1912.3</v>
      </c>
      <c r="J1273" s="62"/>
      <c r="K1273" s="10"/>
    </row>
    <row r="1274" spans="1:11" x14ac:dyDescent="0.2">
      <c r="A1274" s="268" t="s">
        <v>1799</v>
      </c>
      <c r="B1274" s="258" t="s">
        <v>1146</v>
      </c>
      <c r="C1274" s="137" t="s">
        <v>1147</v>
      </c>
      <c r="D1274" s="135" t="s">
        <v>1055</v>
      </c>
      <c r="E1274" s="77" t="s">
        <v>1056</v>
      </c>
      <c r="F1274" s="75"/>
      <c r="G1274" s="75">
        <v>680</v>
      </c>
      <c r="H1274" s="75">
        <v>550</v>
      </c>
      <c r="I1274" s="75">
        <v>700</v>
      </c>
      <c r="J1274" s="75"/>
      <c r="K1274" s="10"/>
    </row>
    <row r="1275" spans="1:11" ht="51" x14ac:dyDescent="0.2">
      <c r="A1275" s="268"/>
      <c r="B1275" s="258"/>
      <c r="C1275" s="136" t="s">
        <v>1057</v>
      </c>
      <c r="D1275" s="46" t="s">
        <v>302</v>
      </c>
      <c r="E1275" s="46" t="s">
        <v>303</v>
      </c>
      <c r="F1275" s="62"/>
      <c r="G1275" s="62">
        <v>6255.2</v>
      </c>
      <c r="H1275" s="62">
        <v>8130.1</v>
      </c>
      <c r="I1275" s="62">
        <v>3052.9</v>
      </c>
      <c r="J1275" s="62"/>
      <c r="K1275" s="10"/>
    </row>
    <row r="1276" spans="1:11" x14ac:dyDescent="0.2">
      <c r="A1276" s="268" t="s">
        <v>1800</v>
      </c>
      <c r="B1276" s="258" t="s">
        <v>1148</v>
      </c>
      <c r="C1276" s="137" t="s">
        <v>1149</v>
      </c>
      <c r="D1276" s="135" t="s">
        <v>1055</v>
      </c>
      <c r="E1276" s="77" t="s">
        <v>1056</v>
      </c>
      <c r="F1276" s="75"/>
      <c r="G1276" s="75">
        <v>40</v>
      </c>
      <c r="H1276" s="75"/>
      <c r="I1276" s="75"/>
      <c r="J1276" s="75"/>
      <c r="K1276" s="10"/>
    </row>
    <row r="1277" spans="1:11" ht="51" x14ac:dyDescent="0.2">
      <c r="A1277" s="268"/>
      <c r="B1277" s="258"/>
      <c r="C1277" s="136" t="s">
        <v>1057</v>
      </c>
      <c r="D1277" s="46" t="s">
        <v>302</v>
      </c>
      <c r="E1277" s="46" t="s">
        <v>303</v>
      </c>
      <c r="F1277" s="62"/>
      <c r="G1277" s="62">
        <v>5419.5</v>
      </c>
      <c r="H1277" s="62"/>
      <c r="I1277" s="62"/>
      <c r="J1277" s="62"/>
      <c r="K1277" s="10"/>
    </row>
    <row r="1278" spans="1:11" x14ac:dyDescent="0.2">
      <c r="A1278" s="268" t="s">
        <v>1801</v>
      </c>
      <c r="B1278" s="258" t="s">
        <v>1150</v>
      </c>
      <c r="C1278" s="40" t="s">
        <v>1151</v>
      </c>
      <c r="D1278" s="135" t="s">
        <v>1055</v>
      </c>
      <c r="E1278" s="77" t="s">
        <v>1056</v>
      </c>
      <c r="F1278" s="75"/>
      <c r="G1278" s="75"/>
      <c r="H1278" s="75">
        <v>1000</v>
      </c>
      <c r="I1278" s="75">
        <v>1800</v>
      </c>
      <c r="J1278" s="75"/>
      <c r="K1278" s="10"/>
    </row>
    <row r="1279" spans="1:11" ht="51" x14ac:dyDescent="0.2">
      <c r="A1279" s="268"/>
      <c r="B1279" s="258"/>
      <c r="C1279" s="136" t="s">
        <v>1057</v>
      </c>
      <c r="D1279" s="46" t="s">
        <v>302</v>
      </c>
      <c r="E1279" s="46" t="s">
        <v>303</v>
      </c>
      <c r="F1279" s="62"/>
      <c r="G1279" s="62"/>
      <c r="H1279" s="62">
        <v>6211.3</v>
      </c>
      <c r="I1279" s="62">
        <v>14663.1</v>
      </c>
      <c r="J1279" s="62"/>
      <c r="K1279" s="10"/>
    </row>
    <row r="1280" spans="1:11" x14ac:dyDescent="0.2">
      <c r="A1280" s="268" t="s">
        <v>1802</v>
      </c>
      <c r="B1280" s="258" t="s">
        <v>1152</v>
      </c>
      <c r="C1280" s="40" t="s">
        <v>1153</v>
      </c>
      <c r="D1280" s="135" t="s">
        <v>1154</v>
      </c>
      <c r="E1280" s="77" t="s">
        <v>336</v>
      </c>
      <c r="F1280" s="75"/>
      <c r="G1280" s="75"/>
      <c r="H1280" s="75">
        <v>1</v>
      </c>
      <c r="I1280" s="75">
        <v>1</v>
      </c>
      <c r="J1280" s="75">
        <v>1</v>
      </c>
      <c r="K1280" s="10"/>
    </row>
    <row r="1281" spans="1:11" ht="51" x14ac:dyDescent="0.2">
      <c r="A1281" s="268"/>
      <c r="B1281" s="258"/>
      <c r="C1281" s="136" t="s">
        <v>1087</v>
      </c>
      <c r="D1281" s="46" t="s">
        <v>302</v>
      </c>
      <c r="E1281" s="46" t="s">
        <v>303</v>
      </c>
      <c r="F1281" s="62"/>
      <c r="G1281" s="62"/>
      <c r="H1281" s="62">
        <v>110</v>
      </c>
      <c r="I1281" s="62">
        <v>110</v>
      </c>
      <c r="J1281" s="62">
        <v>110</v>
      </c>
      <c r="K1281" s="10"/>
    </row>
    <row r="1282" spans="1:11" x14ac:dyDescent="0.2">
      <c r="A1282" s="268" t="s">
        <v>1803</v>
      </c>
      <c r="B1282" s="258" t="s">
        <v>1155</v>
      </c>
      <c r="C1282" s="40" t="s">
        <v>1156</v>
      </c>
      <c r="D1282" s="135" t="s">
        <v>1131</v>
      </c>
      <c r="E1282" s="77" t="s">
        <v>336</v>
      </c>
      <c r="F1282" s="75"/>
      <c r="G1282" s="75"/>
      <c r="H1282" s="75">
        <v>2</v>
      </c>
      <c r="I1282" s="75">
        <v>2</v>
      </c>
      <c r="J1282" s="75">
        <v>2</v>
      </c>
      <c r="K1282" s="10"/>
    </row>
    <row r="1283" spans="1:11" ht="51" x14ac:dyDescent="0.2">
      <c r="A1283" s="268"/>
      <c r="B1283" s="258"/>
      <c r="C1283" s="136" t="s">
        <v>1087</v>
      </c>
      <c r="D1283" s="46" t="s">
        <v>302</v>
      </c>
      <c r="E1283" s="46" t="s">
        <v>303</v>
      </c>
      <c r="F1283" s="62"/>
      <c r="G1283" s="62"/>
      <c r="H1283" s="62">
        <v>130</v>
      </c>
      <c r="I1283" s="62">
        <v>130</v>
      </c>
      <c r="J1283" s="62">
        <v>130</v>
      </c>
      <c r="K1283" s="10"/>
    </row>
    <row r="1284" spans="1:11" x14ac:dyDescent="0.2">
      <c r="A1284" s="268" t="s">
        <v>1804</v>
      </c>
      <c r="B1284" s="258" t="s">
        <v>1157</v>
      </c>
      <c r="C1284" s="137" t="s">
        <v>1158</v>
      </c>
      <c r="D1284" s="135" t="s">
        <v>1159</v>
      </c>
      <c r="E1284" s="77" t="s">
        <v>23</v>
      </c>
      <c r="F1284" s="75">
        <v>17620</v>
      </c>
      <c r="G1284" s="75">
        <v>17620</v>
      </c>
      <c r="H1284" s="75">
        <v>17620</v>
      </c>
      <c r="I1284" s="75">
        <v>17620</v>
      </c>
      <c r="J1284" s="75">
        <v>17620</v>
      </c>
      <c r="K1284" s="10"/>
    </row>
    <row r="1285" spans="1:11" ht="51" x14ac:dyDescent="0.2">
      <c r="A1285" s="268"/>
      <c r="B1285" s="258"/>
      <c r="C1285" s="136" t="s">
        <v>1122</v>
      </c>
      <c r="D1285" s="46" t="s">
        <v>302</v>
      </c>
      <c r="E1285" s="46" t="s">
        <v>303</v>
      </c>
      <c r="F1285" s="62">
        <v>8847.75</v>
      </c>
      <c r="G1285" s="62">
        <v>10461.299999999999</v>
      </c>
      <c r="H1285" s="62">
        <v>10461.299999999999</v>
      </c>
      <c r="I1285" s="62">
        <v>10461.299999999999</v>
      </c>
      <c r="J1285" s="62">
        <v>10461.299999999999</v>
      </c>
      <c r="K1285" s="10"/>
    </row>
    <row r="1286" spans="1:11" ht="25.5" x14ac:dyDescent="0.2">
      <c r="A1286" s="268" t="s">
        <v>1805</v>
      </c>
      <c r="B1286" s="258" t="s">
        <v>1160</v>
      </c>
      <c r="C1286" s="137" t="s">
        <v>1161</v>
      </c>
      <c r="D1286" s="135" t="s">
        <v>1162</v>
      </c>
      <c r="E1286" s="77" t="s">
        <v>23</v>
      </c>
      <c r="F1286" s="75">
        <v>15212</v>
      </c>
      <c r="G1286" s="75">
        <v>15212</v>
      </c>
      <c r="H1286" s="75">
        <v>15212</v>
      </c>
      <c r="I1286" s="75">
        <v>15212</v>
      </c>
      <c r="J1286" s="75">
        <v>15212</v>
      </c>
      <c r="K1286" s="10"/>
    </row>
    <row r="1287" spans="1:11" ht="51" x14ac:dyDescent="0.2">
      <c r="A1287" s="268"/>
      <c r="B1287" s="258"/>
      <c r="C1287" s="136" t="s">
        <v>1122</v>
      </c>
      <c r="D1287" s="46" t="s">
        <v>302</v>
      </c>
      <c r="E1287" s="46" t="s">
        <v>303</v>
      </c>
      <c r="F1287" s="62">
        <v>5580.5</v>
      </c>
      <c r="G1287" s="62">
        <v>6545</v>
      </c>
      <c r="H1287" s="62">
        <v>6300</v>
      </c>
      <c r="I1287" s="62">
        <v>6300</v>
      </c>
      <c r="J1287" s="62">
        <v>6300</v>
      </c>
      <c r="K1287" s="10"/>
    </row>
    <row r="1288" spans="1:11" ht="25.5" x14ac:dyDescent="0.2">
      <c r="A1288" s="268" t="s">
        <v>1806</v>
      </c>
      <c r="B1288" s="258" t="s">
        <v>1163</v>
      </c>
      <c r="C1288" s="137" t="s">
        <v>1164</v>
      </c>
      <c r="D1288" s="135" t="s">
        <v>1162</v>
      </c>
      <c r="E1288" s="77" t="s">
        <v>23</v>
      </c>
      <c r="F1288" s="75">
        <v>11600</v>
      </c>
      <c r="G1288" s="75">
        <v>11600</v>
      </c>
      <c r="H1288" s="75">
        <v>11600</v>
      </c>
      <c r="I1288" s="75">
        <v>11600</v>
      </c>
      <c r="J1288" s="75">
        <v>11600</v>
      </c>
      <c r="K1288" s="10"/>
    </row>
    <row r="1289" spans="1:11" ht="51" x14ac:dyDescent="0.2">
      <c r="A1289" s="268"/>
      <c r="B1289" s="258"/>
      <c r="C1289" s="136" t="s">
        <v>1122</v>
      </c>
      <c r="D1289" s="46" t="s">
        <v>302</v>
      </c>
      <c r="E1289" s="46" t="s">
        <v>303</v>
      </c>
      <c r="F1289" s="62">
        <v>5580.6</v>
      </c>
      <c r="G1289" s="62">
        <v>8132.5</v>
      </c>
      <c r="H1289" s="62">
        <v>6268.8</v>
      </c>
      <c r="I1289" s="62">
        <v>6268.8</v>
      </c>
      <c r="J1289" s="62">
        <v>6268.8</v>
      </c>
      <c r="K1289" s="10"/>
    </row>
    <row r="1290" spans="1:11" x14ac:dyDescent="0.2">
      <c r="A1290" s="268" t="s">
        <v>1807</v>
      </c>
      <c r="B1290" s="258" t="s">
        <v>1165</v>
      </c>
      <c r="C1290" s="137" t="s">
        <v>1166</v>
      </c>
      <c r="D1290" s="135" t="s">
        <v>1167</v>
      </c>
      <c r="E1290" s="77" t="s">
        <v>23</v>
      </c>
      <c r="F1290" s="75">
        <v>2500</v>
      </c>
      <c r="G1290" s="75">
        <v>2500</v>
      </c>
      <c r="H1290" s="75">
        <v>2500</v>
      </c>
      <c r="I1290" s="75">
        <v>2500</v>
      </c>
      <c r="J1290" s="75">
        <v>2500</v>
      </c>
      <c r="K1290" s="10"/>
    </row>
    <row r="1291" spans="1:11" ht="51" x14ac:dyDescent="0.2">
      <c r="A1291" s="268"/>
      <c r="B1291" s="258"/>
      <c r="C1291" s="136" t="s">
        <v>1122</v>
      </c>
      <c r="D1291" s="46" t="s">
        <v>302</v>
      </c>
      <c r="E1291" s="46" t="s">
        <v>303</v>
      </c>
      <c r="F1291" s="62">
        <v>2511.6999999999998</v>
      </c>
      <c r="G1291" s="62">
        <v>2945.7</v>
      </c>
      <c r="H1291" s="62">
        <v>2900</v>
      </c>
      <c r="I1291" s="62">
        <v>2900</v>
      </c>
      <c r="J1291" s="62">
        <v>2900</v>
      </c>
      <c r="K1291" s="10"/>
    </row>
    <row r="1292" spans="1:11" x14ac:dyDescent="0.2">
      <c r="A1292" s="268" t="s">
        <v>1808</v>
      </c>
      <c r="B1292" s="258" t="s">
        <v>1160</v>
      </c>
      <c r="C1292" s="40" t="s">
        <v>1161</v>
      </c>
      <c r="D1292" s="135" t="s">
        <v>1168</v>
      </c>
      <c r="E1292" s="77" t="s">
        <v>336</v>
      </c>
      <c r="F1292" s="75"/>
      <c r="G1292" s="75"/>
      <c r="H1292" s="75">
        <v>1</v>
      </c>
      <c r="I1292" s="75"/>
      <c r="J1292" s="75"/>
      <c r="K1292" s="10"/>
    </row>
    <row r="1293" spans="1:11" ht="51" x14ac:dyDescent="0.2">
      <c r="A1293" s="268"/>
      <c r="B1293" s="258"/>
      <c r="C1293" s="136" t="s">
        <v>1122</v>
      </c>
      <c r="D1293" s="46" t="s">
        <v>302</v>
      </c>
      <c r="E1293" s="46" t="s">
        <v>303</v>
      </c>
      <c r="F1293" s="62"/>
      <c r="G1293" s="62"/>
      <c r="H1293" s="62">
        <v>900</v>
      </c>
      <c r="I1293" s="62">
        <v>900</v>
      </c>
      <c r="J1293" s="62">
        <v>900</v>
      </c>
      <c r="K1293" s="10"/>
    </row>
    <row r="1294" spans="1:11" ht="25.5" x14ac:dyDescent="0.2">
      <c r="A1294" s="268" t="s">
        <v>1809</v>
      </c>
      <c r="B1294" s="258" t="s">
        <v>1169</v>
      </c>
      <c r="C1294" s="137" t="s">
        <v>1170</v>
      </c>
      <c r="D1294" s="135" t="s">
        <v>1121</v>
      </c>
      <c r="E1294" s="77" t="s">
        <v>23</v>
      </c>
      <c r="F1294" s="75">
        <v>4</v>
      </c>
      <c r="G1294" s="75">
        <v>13</v>
      </c>
      <c r="H1294" s="75">
        <v>4</v>
      </c>
      <c r="I1294" s="75">
        <v>4</v>
      </c>
      <c r="J1294" s="75">
        <v>4</v>
      </c>
      <c r="K1294" s="10"/>
    </row>
    <row r="1295" spans="1:11" ht="51" x14ac:dyDescent="0.2">
      <c r="A1295" s="268"/>
      <c r="B1295" s="258"/>
      <c r="C1295" s="136" t="s">
        <v>1058</v>
      </c>
      <c r="D1295" s="46" t="s">
        <v>302</v>
      </c>
      <c r="E1295" s="46" t="s">
        <v>303</v>
      </c>
      <c r="F1295" s="62"/>
      <c r="G1295" s="62">
        <v>923.4</v>
      </c>
      <c r="H1295" s="62">
        <v>1468.2</v>
      </c>
      <c r="I1295" s="62">
        <v>1468.2</v>
      </c>
      <c r="J1295" s="62">
        <v>1468.2</v>
      </c>
      <c r="K1295" s="10"/>
    </row>
    <row r="1296" spans="1:11" ht="51" x14ac:dyDescent="0.2">
      <c r="A1296" s="268"/>
      <c r="B1296" s="258"/>
      <c r="C1296" s="136" t="s">
        <v>1048</v>
      </c>
      <c r="D1296" s="46" t="s">
        <v>302</v>
      </c>
      <c r="E1296" s="46" t="s">
        <v>303</v>
      </c>
      <c r="F1296" s="62">
        <v>3389</v>
      </c>
      <c r="G1296" s="62">
        <v>1735</v>
      </c>
      <c r="H1296" s="62"/>
      <c r="I1296" s="62"/>
      <c r="J1296" s="62"/>
      <c r="K1296" s="10"/>
    </row>
    <row r="1297" spans="1:11" ht="25.5" x14ac:dyDescent="0.2">
      <c r="A1297" s="268" t="s">
        <v>1810</v>
      </c>
      <c r="B1297" s="258" t="s">
        <v>1171</v>
      </c>
      <c r="C1297" s="81" t="s">
        <v>1172</v>
      </c>
      <c r="D1297" s="135" t="s">
        <v>1173</v>
      </c>
      <c r="E1297" s="77" t="s">
        <v>1095</v>
      </c>
      <c r="F1297" s="75">
        <v>12.5</v>
      </c>
      <c r="G1297" s="75">
        <v>34</v>
      </c>
      <c r="H1297" s="75">
        <v>87</v>
      </c>
      <c r="I1297" s="75">
        <v>87</v>
      </c>
      <c r="J1297" s="75">
        <v>87</v>
      </c>
      <c r="K1297" s="10"/>
    </row>
    <row r="1298" spans="1:11" ht="51" x14ac:dyDescent="0.2">
      <c r="A1298" s="268"/>
      <c r="B1298" s="258"/>
      <c r="C1298" s="136" t="s">
        <v>1058</v>
      </c>
      <c r="D1298" s="46" t="s">
        <v>302</v>
      </c>
      <c r="E1298" s="46" t="s">
        <v>303</v>
      </c>
      <c r="F1298" s="62"/>
      <c r="G1298" s="62">
        <v>2512.1999999999998</v>
      </c>
      <c r="H1298" s="62">
        <v>1635</v>
      </c>
      <c r="I1298" s="62">
        <v>1635</v>
      </c>
      <c r="J1298" s="62">
        <v>1635</v>
      </c>
      <c r="K1298" s="10"/>
    </row>
    <row r="1299" spans="1:11" ht="51" x14ac:dyDescent="0.2">
      <c r="A1299" s="268"/>
      <c r="B1299" s="258"/>
      <c r="C1299" s="136" t="s">
        <v>1048</v>
      </c>
      <c r="D1299" s="46" t="s">
        <v>302</v>
      </c>
      <c r="E1299" s="46" t="s">
        <v>303</v>
      </c>
      <c r="F1299" s="62">
        <v>2904.8</v>
      </c>
      <c r="G1299" s="62">
        <v>3739.4</v>
      </c>
      <c r="H1299" s="62">
        <v>9916.7999999999993</v>
      </c>
      <c r="I1299" s="62">
        <v>9916.7999999999993</v>
      </c>
      <c r="J1299" s="62">
        <v>9916.7999999999993</v>
      </c>
      <c r="K1299" s="10"/>
    </row>
    <row r="1300" spans="1:11" ht="25.5" x14ac:dyDescent="0.2">
      <c r="A1300" s="268" t="s">
        <v>1811</v>
      </c>
      <c r="B1300" s="258" t="s">
        <v>1174</v>
      </c>
      <c r="C1300" s="81" t="s">
        <v>1175</v>
      </c>
      <c r="D1300" s="135" t="s">
        <v>1176</v>
      </c>
      <c r="E1300" s="77" t="s">
        <v>336</v>
      </c>
      <c r="F1300" s="75">
        <v>100</v>
      </c>
      <c r="G1300" s="75"/>
      <c r="H1300" s="75"/>
      <c r="I1300" s="75"/>
      <c r="J1300" s="75"/>
      <c r="K1300" s="10"/>
    </row>
    <row r="1301" spans="1:11" ht="51" x14ac:dyDescent="0.2">
      <c r="A1301" s="268"/>
      <c r="B1301" s="258"/>
      <c r="C1301" s="136" t="s">
        <v>1048</v>
      </c>
      <c r="D1301" s="46" t="s">
        <v>302</v>
      </c>
      <c r="E1301" s="46" t="s">
        <v>303</v>
      </c>
      <c r="F1301" s="62">
        <v>6021.1</v>
      </c>
      <c r="G1301" s="62"/>
      <c r="H1301" s="62"/>
      <c r="I1301" s="62"/>
      <c r="J1301" s="62"/>
      <c r="K1301" s="10"/>
    </row>
    <row r="1302" spans="1:11" ht="25.5" x14ac:dyDescent="0.2">
      <c r="A1302" s="268" t="s">
        <v>1812</v>
      </c>
      <c r="B1302" s="258" t="s">
        <v>1177</v>
      </c>
      <c r="C1302" s="81" t="s">
        <v>1175</v>
      </c>
      <c r="D1302" s="135" t="s">
        <v>1178</v>
      </c>
      <c r="E1302" s="77" t="s">
        <v>23</v>
      </c>
      <c r="F1302" s="75">
        <v>5</v>
      </c>
      <c r="G1302" s="75">
        <v>12</v>
      </c>
      <c r="H1302" s="75">
        <v>13</v>
      </c>
      <c r="I1302" s="75">
        <v>13</v>
      </c>
      <c r="J1302" s="75">
        <v>13</v>
      </c>
      <c r="K1302" s="10"/>
    </row>
    <row r="1303" spans="1:11" ht="51" x14ac:dyDescent="0.2">
      <c r="A1303" s="268"/>
      <c r="B1303" s="258"/>
      <c r="C1303" s="136" t="s">
        <v>1058</v>
      </c>
      <c r="D1303" s="46" t="s">
        <v>302</v>
      </c>
      <c r="E1303" s="46" t="s">
        <v>303</v>
      </c>
      <c r="F1303" s="62">
        <v>1130</v>
      </c>
      <c r="G1303" s="62"/>
      <c r="H1303" s="62">
        <v>1502</v>
      </c>
      <c r="I1303" s="62">
        <v>1502</v>
      </c>
      <c r="J1303" s="62">
        <v>1502</v>
      </c>
      <c r="K1303" s="10"/>
    </row>
    <row r="1304" spans="1:11" ht="51" x14ac:dyDescent="0.2">
      <c r="A1304" s="268"/>
      <c r="B1304" s="258"/>
      <c r="C1304" s="136" t="s">
        <v>1048</v>
      </c>
      <c r="D1304" s="46" t="s">
        <v>302</v>
      </c>
      <c r="E1304" s="46" t="s">
        <v>303</v>
      </c>
      <c r="F1304" s="62">
        <v>3389</v>
      </c>
      <c r="G1304" s="62">
        <v>1735</v>
      </c>
      <c r="H1304" s="62">
        <v>1468.2</v>
      </c>
      <c r="I1304" s="62">
        <v>1468.2</v>
      </c>
      <c r="J1304" s="62">
        <v>1468.2</v>
      </c>
      <c r="K1304" s="10"/>
    </row>
    <row r="1305" spans="1:11" x14ac:dyDescent="0.2">
      <c r="A1305" s="268" t="s">
        <v>1813</v>
      </c>
      <c r="B1305" s="258" t="s">
        <v>1179</v>
      </c>
      <c r="C1305" s="81" t="s">
        <v>1180</v>
      </c>
      <c r="D1305" s="135" t="s">
        <v>1181</v>
      </c>
      <c r="E1305" s="77" t="s">
        <v>23</v>
      </c>
      <c r="F1305" s="75">
        <v>29</v>
      </c>
      <c r="G1305" s="75">
        <v>7</v>
      </c>
      <c r="H1305" s="75">
        <v>7</v>
      </c>
      <c r="I1305" s="75">
        <v>6</v>
      </c>
      <c r="J1305" s="75">
        <v>6</v>
      </c>
      <c r="K1305" s="10"/>
    </row>
    <row r="1306" spans="1:11" ht="51" x14ac:dyDescent="0.2">
      <c r="A1306" s="268"/>
      <c r="B1306" s="258"/>
      <c r="C1306" s="136" t="s">
        <v>1058</v>
      </c>
      <c r="D1306" s="46" t="s">
        <v>302</v>
      </c>
      <c r="E1306" s="46" t="s">
        <v>303</v>
      </c>
      <c r="F1306" s="62"/>
      <c r="G1306" s="62"/>
      <c r="H1306" s="62">
        <v>4446.6000000000004</v>
      </c>
      <c r="I1306" s="62"/>
      <c r="J1306" s="62"/>
      <c r="K1306" s="10"/>
    </row>
    <row r="1307" spans="1:11" ht="51" x14ac:dyDescent="0.2">
      <c r="A1307" s="268"/>
      <c r="B1307" s="258"/>
      <c r="C1307" s="136" t="s">
        <v>1048</v>
      </c>
      <c r="D1307" s="46" t="s">
        <v>302</v>
      </c>
      <c r="E1307" s="46" t="s">
        <v>303</v>
      </c>
      <c r="F1307" s="62">
        <v>7649.8</v>
      </c>
      <c r="G1307" s="62">
        <v>17885.900000000001</v>
      </c>
      <c r="H1307" s="62">
        <v>14756.8</v>
      </c>
      <c r="I1307" s="62">
        <v>14756.8</v>
      </c>
      <c r="J1307" s="62">
        <v>14756.8</v>
      </c>
      <c r="K1307" s="10"/>
    </row>
    <row r="1308" spans="1:11" x14ac:dyDescent="0.2">
      <c r="A1308" s="268" t="s">
        <v>1814</v>
      </c>
      <c r="B1308" s="258" t="s">
        <v>1182</v>
      </c>
      <c r="C1308" s="81" t="s">
        <v>1183</v>
      </c>
      <c r="D1308" s="135" t="s">
        <v>1184</v>
      </c>
      <c r="E1308" s="77" t="s">
        <v>23</v>
      </c>
      <c r="F1308" s="75">
        <v>16</v>
      </c>
      <c r="G1308" s="75">
        <v>14</v>
      </c>
      <c r="H1308" s="75">
        <v>14</v>
      </c>
      <c r="I1308" s="75">
        <v>14</v>
      </c>
      <c r="J1308" s="75">
        <v>14</v>
      </c>
      <c r="K1308" s="10"/>
    </row>
    <row r="1309" spans="1:11" ht="51" x14ac:dyDescent="0.2">
      <c r="A1309" s="268"/>
      <c r="B1309" s="258"/>
      <c r="C1309" s="136" t="s">
        <v>1048</v>
      </c>
      <c r="D1309" s="46" t="s">
        <v>302</v>
      </c>
      <c r="E1309" s="46" t="s">
        <v>303</v>
      </c>
      <c r="F1309" s="62">
        <v>48588.735000000001</v>
      </c>
      <c r="G1309" s="62">
        <v>54836.2</v>
      </c>
      <c r="H1309" s="62">
        <v>55496.1</v>
      </c>
      <c r="I1309" s="62">
        <v>55496.1</v>
      </c>
      <c r="J1309" s="62">
        <v>55496.1</v>
      </c>
      <c r="K1309" s="10"/>
    </row>
    <row r="1310" spans="1:11" x14ac:dyDescent="0.2">
      <c r="A1310" s="268" t="s">
        <v>1815</v>
      </c>
      <c r="B1310" s="258" t="s">
        <v>1185</v>
      </c>
      <c r="C1310" s="81" t="s">
        <v>1186</v>
      </c>
      <c r="D1310" s="135" t="s">
        <v>1187</v>
      </c>
      <c r="E1310" s="77" t="s">
        <v>336</v>
      </c>
      <c r="F1310" s="75">
        <v>2180</v>
      </c>
      <c r="G1310" s="75">
        <v>1904</v>
      </c>
      <c r="H1310" s="75">
        <v>1992</v>
      </c>
      <c r="I1310" s="75">
        <v>1992</v>
      </c>
      <c r="J1310" s="75">
        <v>1992</v>
      </c>
      <c r="K1310" s="10"/>
    </row>
    <row r="1311" spans="1:11" ht="51" x14ac:dyDescent="0.2">
      <c r="A1311" s="268"/>
      <c r="B1311" s="258"/>
      <c r="C1311" s="136" t="s">
        <v>1048</v>
      </c>
      <c r="D1311" s="46" t="s">
        <v>302</v>
      </c>
      <c r="E1311" s="46" t="s">
        <v>303</v>
      </c>
      <c r="F1311" s="62">
        <v>27890.9</v>
      </c>
      <c r="G1311" s="62">
        <v>11536.7</v>
      </c>
      <c r="H1311" s="62">
        <v>11454.4</v>
      </c>
      <c r="I1311" s="62">
        <v>11454.4</v>
      </c>
      <c r="J1311" s="62">
        <v>11454.4</v>
      </c>
      <c r="K1311" s="10"/>
    </row>
    <row r="1312" spans="1:11" x14ac:dyDescent="0.2">
      <c r="A1312" s="268" t="s">
        <v>1816</v>
      </c>
      <c r="B1312" s="258" t="s">
        <v>1188</v>
      </c>
      <c r="C1312" s="81" t="s">
        <v>1189</v>
      </c>
      <c r="D1312" s="135" t="s">
        <v>1190</v>
      </c>
      <c r="E1312" s="77" t="s">
        <v>336</v>
      </c>
      <c r="F1312" s="75">
        <v>50</v>
      </c>
      <c r="G1312" s="75">
        <v>55</v>
      </c>
      <c r="H1312" s="75">
        <v>230</v>
      </c>
      <c r="I1312" s="75">
        <v>230</v>
      </c>
      <c r="J1312" s="75">
        <v>230</v>
      </c>
      <c r="K1312" s="10"/>
    </row>
    <row r="1313" spans="1:11" ht="51" x14ac:dyDescent="0.2">
      <c r="A1313" s="268"/>
      <c r="B1313" s="258"/>
      <c r="C1313" s="136" t="s">
        <v>1058</v>
      </c>
      <c r="D1313" s="46" t="s">
        <v>302</v>
      </c>
      <c r="E1313" s="46" t="s">
        <v>303</v>
      </c>
      <c r="F1313" s="62"/>
      <c r="G1313" s="62"/>
      <c r="H1313" s="62">
        <v>1912.2</v>
      </c>
      <c r="I1313" s="62">
        <v>1912.2</v>
      </c>
      <c r="J1313" s="62">
        <v>1912.2</v>
      </c>
      <c r="K1313" s="10"/>
    </row>
    <row r="1314" spans="1:11" ht="51" x14ac:dyDescent="0.2">
      <c r="A1314" s="268"/>
      <c r="B1314" s="258"/>
      <c r="C1314" s="136" t="s">
        <v>1048</v>
      </c>
      <c r="D1314" s="46" t="s">
        <v>302</v>
      </c>
      <c r="E1314" s="46" t="s">
        <v>303</v>
      </c>
      <c r="F1314" s="62">
        <v>3665</v>
      </c>
      <c r="G1314" s="62">
        <v>4124.7</v>
      </c>
      <c r="H1314" s="62">
        <v>2492.6999999999998</v>
      </c>
      <c r="I1314" s="62">
        <v>2492.6999999999998</v>
      </c>
      <c r="J1314" s="62">
        <v>2492.6999999999998</v>
      </c>
      <c r="K1314" s="10"/>
    </row>
    <row r="1315" spans="1:11" ht="25.5" x14ac:dyDescent="0.2">
      <c r="A1315" s="268" t="s">
        <v>1817</v>
      </c>
      <c r="B1315" s="258" t="s">
        <v>1191</v>
      </c>
      <c r="C1315" s="77" t="s">
        <v>1192</v>
      </c>
      <c r="D1315" s="135" t="s">
        <v>1193</v>
      </c>
      <c r="E1315" s="77" t="s">
        <v>1056</v>
      </c>
      <c r="F1315" s="75">
        <v>34704.5</v>
      </c>
      <c r="G1315" s="75">
        <v>34704.5</v>
      </c>
      <c r="H1315" s="75">
        <v>38357.17</v>
      </c>
      <c r="I1315" s="75">
        <v>38357.17</v>
      </c>
      <c r="J1315" s="75">
        <v>38357.17</v>
      </c>
      <c r="K1315" s="10"/>
    </row>
    <row r="1316" spans="1:11" ht="51" x14ac:dyDescent="0.2">
      <c r="A1316" s="268"/>
      <c r="B1316" s="258"/>
      <c r="C1316" s="136" t="s">
        <v>1057</v>
      </c>
      <c r="D1316" s="46" t="s">
        <v>302</v>
      </c>
      <c r="E1316" s="46" t="s">
        <v>303</v>
      </c>
      <c r="F1316" s="62">
        <v>51330.2</v>
      </c>
      <c r="G1316" s="62"/>
      <c r="H1316" s="62"/>
      <c r="I1316" s="62"/>
      <c r="J1316" s="62"/>
      <c r="K1316" s="10"/>
    </row>
    <row r="1317" spans="1:11" ht="51" x14ac:dyDescent="0.2">
      <c r="A1317" s="268"/>
      <c r="B1317" s="258"/>
      <c r="C1317" s="136" t="s">
        <v>1048</v>
      </c>
      <c r="D1317" s="46" t="s">
        <v>302</v>
      </c>
      <c r="E1317" s="46" t="s">
        <v>303</v>
      </c>
      <c r="F1317" s="62">
        <v>45413.2</v>
      </c>
      <c r="G1317" s="62">
        <v>97538.9</v>
      </c>
      <c r="H1317" s="62">
        <v>96221.39</v>
      </c>
      <c r="I1317" s="62">
        <v>76231.39</v>
      </c>
      <c r="J1317" s="62">
        <v>96221.39</v>
      </c>
      <c r="K1317" s="10"/>
    </row>
    <row r="1318" spans="1:11" ht="51" x14ac:dyDescent="0.2">
      <c r="A1318" s="268"/>
      <c r="B1318" s="258"/>
      <c r="C1318" s="136" t="s">
        <v>1122</v>
      </c>
      <c r="D1318" s="46" t="s">
        <v>302</v>
      </c>
      <c r="E1318" s="46" t="s">
        <v>303</v>
      </c>
      <c r="F1318" s="62"/>
      <c r="G1318" s="62">
        <v>2850</v>
      </c>
      <c r="H1318" s="62"/>
      <c r="I1318" s="62"/>
      <c r="J1318" s="62"/>
      <c r="K1318" s="10"/>
    </row>
    <row r="1319" spans="1:11" ht="25.5" x14ac:dyDescent="0.2">
      <c r="A1319" s="268" t="s">
        <v>1818</v>
      </c>
      <c r="B1319" s="258" t="s">
        <v>1194</v>
      </c>
      <c r="C1319" s="77" t="s">
        <v>1175</v>
      </c>
      <c r="D1319" s="135" t="s">
        <v>1195</v>
      </c>
      <c r="E1319" s="77" t="s">
        <v>336</v>
      </c>
      <c r="F1319" s="75"/>
      <c r="G1319" s="75">
        <v>240</v>
      </c>
      <c r="H1319" s="75">
        <v>250</v>
      </c>
      <c r="I1319" s="75">
        <v>250</v>
      </c>
      <c r="J1319" s="75">
        <v>250</v>
      </c>
      <c r="K1319" s="10"/>
    </row>
    <row r="1320" spans="1:11" ht="51" x14ac:dyDescent="0.2">
      <c r="A1320" s="268"/>
      <c r="B1320" s="258"/>
      <c r="C1320" s="136" t="s">
        <v>1048</v>
      </c>
      <c r="D1320" s="46" t="s">
        <v>302</v>
      </c>
      <c r="E1320" s="46" t="s">
        <v>303</v>
      </c>
      <c r="F1320" s="62"/>
      <c r="G1320" s="62">
        <v>1613.1</v>
      </c>
      <c r="H1320" s="62">
        <v>1409.5</v>
      </c>
      <c r="I1320" s="62">
        <v>1409.5</v>
      </c>
      <c r="J1320" s="62">
        <v>1409.5</v>
      </c>
      <c r="K1320" s="10"/>
    </row>
    <row r="1321" spans="1:11" ht="51" x14ac:dyDescent="0.2">
      <c r="A1321" s="268" t="s">
        <v>1819</v>
      </c>
      <c r="B1321" s="258" t="s">
        <v>1196</v>
      </c>
      <c r="C1321" s="77" t="s">
        <v>1197</v>
      </c>
      <c r="D1321" s="135" t="s">
        <v>1198</v>
      </c>
      <c r="E1321" s="77" t="s">
        <v>336</v>
      </c>
      <c r="F1321" s="75"/>
      <c r="G1321" s="75">
        <v>30</v>
      </c>
      <c r="H1321" s="75">
        <v>30</v>
      </c>
      <c r="I1321" s="75">
        <v>30</v>
      </c>
      <c r="J1321" s="75">
        <v>30</v>
      </c>
      <c r="K1321" s="10"/>
    </row>
    <row r="1322" spans="1:11" ht="51" x14ac:dyDescent="0.2">
      <c r="A1322" s="268"/>
      <c r="B1322" s="258"/>
      <c r="C1322" s="136" t="s">
        <v>1048</v>
      </c>
      <c r="D1322" s="46" t="s">
        <v>302</v>
      </c>
      <c r="E1322" s="46" t="s">
        <v>303</v>
      </c>
      <c r="F1322" s="62"/>
      <c r="G1322" s="62">
        <v>2646.9</v>
      </c>
      <c r="H1322" s="62">
        <v>3119.7</v>
      </c>
      <c r="I1322" s="62">
        <v>3119.7</v>
      </c>
      <c r="J1322" s="62">
        <v>3119.7</v>
      </c>
      <c r="K1322" s="10"/>
    </row>
    <row r="1323" spans="1:11" ht="25.5" x14ac:dyDescent="0.2">
      <c r="A1323" s="268"/>
      <c r="B1323" s="258"/>
      <c r="C1323" s="77" t="s">
        <v>1197</v>
      </c>
      <c r="D1323" s="135" t="s">
        <v>1199</v>
      </c>
      <c r="E1323" s="77" t="s">
        <v>1200</v>
      </c>
      <c r="F1323" s="75"/>
      <c r="G1323" s="75">
        <v>10</v>
      </c>
      <c r="H1323" s="75">
        <v>15</v>
      </c>
      <c r="I1323" s="75">
        <v>15</v>
      </c>
      <c r="J1323" s="75">
        <v>15</v>
      </c>
      <c r="K1323" s="10"/>
    </row>
    <row r="1324" spans="1:11" ht="51" x14ac:dyDescent="0.2">
      <c r="A1324" s="268"/>
      <c r="B1324" s="258"/>
      <c r="C1324" s="136" t="s">
        <v>1048</v>
      </c>
      <c r="D1324" s="46" t="s">
        <v>302</v>
      </c>
      <c r="E1324" s="46" t="s">
        <v>303</v>
      </c>
      <c r="F1324" s="62"/>
      <c r="G1324" s="62">
        <v>2614.9</v>
      </c>
      <c r="H1324" s="62">
        <v>3124.5</v>
      </c>
      <c r="I1324" s="62">
        <v>3124.5</v>
      </c>
      <c r="J1324" s="62">
        <v>3124.5</v>
      </c>
      <c r="K1324" s="10"/>
    </row>
    <row r="1325" spans="1:11" ht="25.5" x14ac:dyDescent="0.2">
      <c r="A1325" s="268" t="s">
        <v>1820</v>
      </c>
      <c r="B1325" s="258" t="s">
        <v>1201</v>
      </c>
      <c r="C1325" s="77" t="s">
        <v>548</v>
      </c>
      <c r="D1325" s="135" t="s">
        <v>1202</v>
      </c>
      <c r="E1325" s="77" t="s">
        <v>23</v>
      </c>
      <c r="F1325" s="75">
        <v>3</v>
      </c>
      <c r="G1325" s="75"/>
      <c r="H1325" s="75"/>
      <c r="I1325" s="75"/>
      <c r="J1325" s="75"/>
      <c r="K1325" s="10"/>
    </row>
    <row r="1326" spans="1:11" ht="51" x14ac:dyDescent="0.2">
      <c r="A1326" s="268"/>
      <c r="B1326" s="258"/>
      <c r="C1326" s="136" t="s">
        <v>1048</v>
      </c>
      <c r="D1326" s="46" t="s">
        <v>302</v>
      </c>
      <c r="E1326" s="46" t="s">
        <v>303</v>
      </c>
      <c r="F1326" s="62">
        <v>470</v>
      </c>
      <c r="G1326" s="62"/>
      <c r="H1326" s="62"/>
      <c r="I1326" s="62"/>
      <c r="J1326" s="62"/>
      <c r="K1326" s="10"/>
    </row>
    <row r="1327" spans="1:11" ht="51" x14ac:dyDescent="0.2">
      <c r="A1327" s="268"/>
      <c r="B1327" s="258"/>
      <c r="C1327" s="136" t="s">
        <v>1122</v>
      </c>
      <c r="D1327" s="46" t="s">
        <v>302</v>
      </c>
      <c r="E1327" s="46" t="s">
        <v>303</v>
      </c>
      <c r="F1327" s="62">
        <v>2615</v>
      </c>
      <c r="G1327" s="62"/>
      <c r="H1327" s="62"/>
      <c r="I1327" s="62"/>
      <c r="J1327" s="62"/>
      <c r="K1327" s="10"/>
    </row>
    <row r="1328" spans="1:11" ht="25.5" x14ac:dyDescent="0.2">
      <c r="A1328" s="268" t="s">
        <v>1821</v>
      </c>
      <c r="B1328" s="258" t="s">
        <v>1203</v>
      </c>
      <c r="C1328" s="77" t="s">
        <v>1192</v>
      </c>
      <c r="D1328" s="135" t="s">
        <v>738</v>
      </c>
      <c r="E1328" s="77" t="s">
        <v>23</v>
      </c>
      <c r="F1328" s="75">
        <v>4</v>
      </c>
      <c r="G1328" s="75"/>
      <c r="H1328" s="75"/>
      <c r="I1328" s="75"/>
      <c r="J1328" s="75"/>
      <c r="K1328" s="10"/>
    </row>
    <row r="1329" spans="1:11" ht="51" x14ac:dyDescent="0.2">
      <c r="A1329" s="268"/>
      <c r="B1329" s="258"/>
      <c r="C1329" s="136" t="s">
        <v>1048</v>
      </c>
      <c r="D1329" s="46" t="s">
        <v>302</v>
      </c>
      <c r="E1329" s="46" t="s">
        <v>303</v>
      </c>
      <c r="F1329" s="62">
        <v>210</v>
      </c>
      <c r="G1329" s="62"/>
      <c r="H1329" s="62"/>
      <c r="I1329" s="62"/>
      <c r="J1329" s="62"/>
      <c r="K1329" s="10"/>
    </row>
    <row r="1330" spans="1:11" x14ac:dyDescent="0.2">
      <c r="A1330" s="268" t="s">
        <v>1822</v>
      </c>
      <c r="B1330" s="258" t="s">
        <v>1185</v>
      </c>
      <c r="C1330" s="81" t="s">
        <v>1186</v>
      </c>
      <c r="D1330" s="135" t="s">
        <v>1204</v>
      </c>
      <c r="E1330" s="77" t="s">
        <v>1095</v>
      </c>
      <c r="F1330" s="75">
        <v>139179</v>
      </c>
      <c r="G1330" s="75">
        <v>62206</v>
      </c>
      <c r="H1330" s="75">
        <v>607</v>
      </c>
      <c r="I1330" s="75">
        <v>607</v>
      </c>
      <c r="J1330" s="75">
        <v>607</v>
      </c>
      <c r="K1330" s="10"/>
    </row>
    <row r="1331" spans="1:11" ht="51" x14ac:dyDescent="0.2">
      <c r="A1331" s="268"/>
      <c r="B1331" s="258"/>
      <c r="C1331" s="136" t="s">
        <v>1058</v>
      </c>
      <c r="D1331" s="46" t="s">
        <v>302</v>
      </c>
      <c r="E1331" s="46" t="s">
        <v>303</v>
      </c>
      <c r="F1331" s="62">
        <v>69597</v>
      </c>
      <c r="G1331" s="62">
        <v>52183.299999999996</v>
      </c>
      <c r="H1331" s="62">
        <v>5664.9</v>
      </c>
      <c r="I1331" s="62">
        <v>5664.9</v>
      </c>
      <c r="J1331" s="62">
        <v>5664.9</v>
      </c>
      <c r="K1331" s="10"/>
    </row>
    <row r="1332" spans="1:11" x14ac:dyDescent="0.2">
      <c r="A1332" s="268" t="s">
        <v>1823</v>
      </c>
      <c r="B1332" s="258" t="s">
        <v>1205</v>
      </c>
      <c r="C1332" s="77" t="s">
        <v>1206</v>
      </c>
      <c r="D1332" s="135" t="s">
        <v>1181</v>
      </c>
      <c r="E1332" s="77" t="s">
        <v>23</v>
      </c>
      <c r="F1332" s="75">
        <v>9</v>
      </c>
      <c r="G1332" s="75"/>
      <c r="H1332" s="75"/>
      <c r="I1332" s="75"/>
      <c r="J1332" s="75"/>
      <c r="K1332" s="10"/>
    </row>
    <row r="1333" spans="1:11" ht="51" x14ac:dyDescent="0.2">
      <c r="A1333" s="268"/>
      <c r="B1333" s="258"/>
      <c r="C1333" s="136" t="s">
        <v>1058</v>
      </c>
      <c r="D1333" s="46" t="s">
        <v>302</v>
      </c>
      <c r="E1333" s="46" t="s">
        <v>303</v>
      </c>
      <c r="F1333" s="62">
        <v>500.5</v>
      </c>
      <c r="G1333" s="62"/>
      <c r="H1333" s="62"/>
      <c r="I1333" s="62"/>
      <c r="J1333" s="62"/>
      <c r="K1333" s="10"/>
    </row>
    <row r="1334" spans="1:11" x14ac:dyDescent="0.2">
      <c r="A1334" s="268" t="s">
        <v>1824</v>
      </c>
      <c r="B1334" s="278" t="s">
        <v>1207</v>
      </c>
      <c r="C1334" s="77" t="s">
        <v>1206</v>
      </c>
      <c r="D1334" s="135" t="s">
        <v>1085</v>
      </c>
      <c r="E1334" s="77" t="s">
        <v>1095</v>
      </c>
      <c r="F1334" s="75">
        <v>200</v>
      </c>
      <c r="G1334" s="75"/>
      <c r="H1334" s="75"/>
      <c r="I1334" s="75"/>
      <c r="J1334" s="75"/>
      <c r="K1334" s="10"/>
    </row>
    <row r="1335" spans="1:11" ht="51" x14ac:dyDescent="0.2">
      <c r="A1335" s="268"/>
      <c r="B1335" s="278"/>
      <c r="C1335" s="136" t="s">
        <v>1058</v>
      </c>
      <c r="D1335" s="46" t="s">
        <v>302</v>
      </c>
      <c r="E1335" s="46" t="s">
        <v>303</v>
      </c>
      <c r="F1335" s="62">
        <v>3334.2</v>
      </c>
      <c r="G1335" s="62"/>
      <c r="H1335" s="62"/>
      <c r="I1335" s="62"/>
      <c r="J1335" s="62"/>
      <c r="K1335" s="10"/>
    </row>
    <row r="1336" spans="1:11" x14ac:dyDescent="0.2">
      <c r="A1336" s="268" t="s">
        <v>1825</v>
      </c>
      <c r="B1336" s="278" t="s">
        <v>1208</v>
      </c>
      <c r="C1336" s="77" t="s">
        <v>1209</v>
      </c>
      <c r="D1336" s="135" t="s">
        <v>1181</v>
      </c>
      <c r="E1336" s="77" t="s">
        <v>23</v>
      </c>
      <c r="F1336" s="75"/>
      <c r="G1336" s="75">
        <v>650</v>
      </c>
      <c r="H1336" s="75">
        <v>700</v>
      </c>
      <c r="I1336" s="75">
        <v>700</v>
      </c>
      <c r="J1336" s="75">
        <v>700</v>
      </c>
      <c r="K1336" s="10"/>
    </row>
    <row r="1337" spans="1:11" ht="51" x14ac:dyDescent="0.2">
      <c r="A1337" s="268"/>
      <c r="B1337" s="278"/>
      <c r="C1337" s="136" t="s">
        <v>1058</v>
      </c>
      <c r="D1337" s="46" t="s">
        <v>302</v>
      </c>
      <c r="E1337" s="46" t="s">
        <v>303</v>
      </c>
      <c r="F1337" s="62"/>
      <c r="G1337" s="62">
        <v>3081.4</v>
      </c>
      <c r="H1337" s="62">
        <v>5164.7</v>
      </c>
      <c r="I1337" s="62">
        <v>5164.7</v>
      </c>
      <c r="J1337" s="62">
        <v>5164.7</v>
      </c>
      <c r="K1337" s="10"/>
    </row>
    <row r="1338" spans="1:11" x14ac:dyDescent="0.2">
      <c r="A1338" s="268" t="s">
        <v>1826</v>
      </c>
      <c r="B1338" s="258" t="s">
        <v>1210</v>
      </c>
      <c r="C1338" s="138" t="s">
        <v>1211</v>
      </c>
      <c r="D1338" s="135" t="s">
        <v>1212</v>
      </c>
      <c r="E1338" s="77" t="s">
        <v>1056</v>
      </c>
      <c r="F1338" s="75">
        <v>6000</v>
      </c>
      <c r="G1338" s="75">
        <v>3000</v>
      </c>
      <c r="H1338" s="75"/>
      <c r="I1338" s="75"/>
      <c r="J1338" s="75"/>
      <c r="K1338" s="10"/>
    </row>
    <row r="1339" spans="1:11" ht="51" x14ac:dyDescent="0.2">
      <c r="A1339" s="268"/>
      <c r="B1339" s="258"/>
      <c r="C1339" s="136" t="s">
        <v>1058</v>
      </c>
      <c r="D1339" s="46" t="s">
        <v>302</v>
      </c>
      <c r="E1339" s="46" t="s">
        <v>303</v>
      </c>
      <c r="F1339" s="62">
        <v>72.900000000000006</v>
      </c>
      <c r="G1339" s="62">
        <v>33.9</v>
      </c>
      <c r="H1339" s="62"/>
      <c r="I1339" s="62"/>
      <c r="J1339" s="62"/>
      <c r="K1339" s="10"/>
    </row>
    <row r="1340" spans="1:11" x14ac:dyDescent="0.2">
      <c r="A1340" s="268" t="s">
        <v>1827</v>
      </c>
      <c r="B1340" s="258" t="s">
        <v>1213</v>
      </c>
      <c r="C1340" s="136" t="s">
        <v>1078</v>
      </c>
      <c r="D1340" s="135" t="s">
        <v>1055</v>
      </c>
      <c r="E1340" s="77" t="s">
        <v>1056</v>
      </c>
      <c r="F1340" s="75">
        <v>2</v>
      </c>
      <c r="G1340" s="75"/>
      <c r="H1340" s="75"/>
      <c r="I1340" s="75"/>
      <c r="J1340" s="75"/>
      <c r="K1340" s="10"/>
    </row>
    <row r="1341" spans="1:11" ht="51" x14ac:dyDescent="0.2">
      <c r="A1341" s="268"/>
      <c r="B1341" s="258"/>
      <c r="C1341" s="136" t="s">
        <v>1058</v>
      </c>
      <c r="D1341" s="46" t="s">
        <v>302</v>
      </c>
      <c r="E1341" s="46" t="s">
        <v>303</v>
      </c>
      <c r="F1341" s="62">
        <v>32.700000000000003</v>
      </c>
      <c r="G1341" s="62"/>
      <c r="H1341" s="62"/>
      <c r="I1341" s="62"/>
      <c r="J1341" s="62"/>
      <c r="K1341" s="10"/>
    </row>
    <row r="1342" spans="1:11" ht="25.5" x14ac:dyDescent="0.2">
      <c r="A1342" s="268" t="s">
        <v>1828</v>
      </c>
      <c r="B1342" s="258" t="s">
        <v>1214</v>
      </c>
      <c r="C1342" s="77" t="s">
        <v>1215</v>
      </c>
      <c r="D1342" s="135" t="s">
        <v>1216</v>
      </c>
      <c r="E1342" s="77" t="s">
        <v>1056</v>
      </c>
      <c r="F1342" s="75">
        <v>63216</v>
      </c>
      <c r="G1342" s="75">
        <v>63216</v>
      </c>
      <c r="H1342" s="75">
        <v>63216</v>
      </c>
      <c r="I1342" s="75">
        <v>63216</v>
      </c>
      <c r="J1342" s="75">
        <v>63216</v>
      </c>
      <c r="K1342" s="10"/>
    </row>
    <row r="1343" spans="1:11" ht="51" x14ac:dyDescent="0.2">
      <c r="A1343" s="268"/>
      <c r="B1343" s="258"/>
      <c r="C1343" s="136" t="s">
        <v>1058</v>
      </c>
      <c r="D1343" s="46" t="s">
        <v>302</v>
      </c>
      <c r="E1343" s="46" t="s">
        <v>303</v>
      </c>
      <c r="F1343" s="62">
        <v>551.20000000000005</v>
      </c>
      <c r="G1343" s="62">
        <v>1553.6</v>
      </c>
      <c r="H1343" s="62">
        <v>1364.3</v>
      </c>
      <c r="I1343" s="62">
        <v>1364.3</v>
      </c>
      <c r="J1343" s="62">
        <v>1364.3</v>
      </c>
      <c r="K1343" s="10"/>
    </row>
    <row r="1344" spans="1:11" ht="38.25" x14ac:dyDescent="0.2">
      <c r="A1344" s="268" t="s">
        <v>1829</v>
      </c>
      <c r="B1344" s="258" t="s">
        <v>1217</v>
      </c>
      <c r="C1344" s="77" t="s">
        <v>1197</v>
      </c>
      <c r="D1344" s="135" t="s">
        <v>1218</v>
      </c>
      <c r="E1344" s="77" t="s">
        <v>1200</v>
      </c>
      <c r="F1344" s="75">
        <v>32.4</v>
      </c>
      <c r="G1344" s="75">
        <v>33.4</v>
      </c>
      <c r="H1344" s="75">
        <v>33.4</v>
      </c>
      <c r="I1344" s="75">
        <v>33.4</v>
      </c>
      <c r="J1344" s="75">
        <v>33.4</v>
      </c>
      <c r="K1344" s="10"/>
    </row>
    <row r="1345" spans="1:11" ht="51" x14ac:dyDescent="0.2">
      <c r="A1345" s="268"/>
      <c r="B1345" s="258"/>
      <c r="C1345" s="136" t="s">
        <v>1058</v>
      </c>
      <c r="D1345" s="46" t="s">
        <v>302</v>
      </c>
      <c r="E1345" s="46" t="s">
        <v>303</v>
      </c>
      <c r="F1345" s="62">
        <v>3083</v>
      </c>
      <c r="G1345" s="62">
        <v>3031</v>
      </c>
      <c r="H1345" s="62">
        <v>2795.4</v>
      </c>
      <c r="I1345" s="62">
        <v>2795.4</v>
      </c>
      <c r="J1345" s="62">
        <v>2795.4</v>
      </c>
      <c r="K1345" s="10"/>
    </row>
    <row r="1346" spans="1:11" ht="25.5" x14ac:dyDescent="0.2">
      <c r="A1346" s="268" t="s">
        <v>1830</v>
      </c>
      <c r="B1346" s="258" t="s">
        <v>1219</v>
      </c>
      <c r="C1346" s="77" t="s">
        <v>1136</v>
      </c>
      <c r="D1346" s="135" t="s">
        <v>1220</v>
      </c>
      <c r="E1346" s="77" t="s">
        <v>23</v>
      </c>
      <c r="F1346" s="75">
        <v>247</v>
      </c>
      <c r="G1346" s="75">
        <v>242</v>
      </c>
      <c r="H1346" s="75">
        <v>245</v>
      </c>
      <c r="I1346" s="75">
        <v>245</v>
      </c>
      <c r="J1346" s="75">
        <v>245</v>
      </c>
      <c r="K1346" s="10"/>
    </row>
    <row r="1347" spans="1:11" ht="51" x14ac:dyDescent="0.2">
      <c r="A1347" s="268"/>
      <c r="B1347" s="258"/>
      <c r="C1347" s="136" t="s">
        <v>1058</v>
      </c>
      <c r="D1347" s="46" t="s">
        <v>302</v>
      </c>
      <c r="E1347" s="46" t="s">
        <v>303</v>
      </c>
      <c r="F1347" s="62">
        <v>17463</v>
      </c>
      <c r="G1347" s="62">
        <v>15646.9</v>
      </c>
      <c r="H1347" s="62">
        <v>17458</v>
      </c>
      <c r="I1347" s="62">
        <v>17458</v>
      </c>
      <c r="J1347" s="62">
        <v>17458</v>
      </c>
      <c r="K1347" s="10"/>
    </row>
    <row r="1348" spans="1:11" ht="76.5" x14ac:dyDescent="0.2">
      <c r="A1348" s="268" t="s">
        <v>1831</v>
      </c>
      <c r="B1348" s="258" t="s">
        <v>1221</v>
      </c>
      <c r="C1348" s="77" t="s">
        <v>1136</v>
      </c>
      <c r="D1348" s="135" t="s">
        <v>1222</v>
      </c>
      <c r="E1348" s="77" t="s">
        <v>336</v>
      </c>
      <c r="F1348" s="75">
        <v>55</v>
      </c>
      <c r="G1348" s="75">
        <v>121</v>
      </c>
      <c r="H1348" s="75">
        <v>51</v>
      </c>
      <c r="I1348" s="75">
        <v>51</v>
      </c>
      <c r="J1348" s="75">
        <v>51</v>
      </c>
      <c r="K1348" s="10"/>
    </row>
    <row r="1349" spans="1:11" ht="51" x14ac:dyDescent="0.2">
      <c r="A1349" s="268"/>
      <c r="B1349" s="258"/>
      <c r="C1349" s="136" t="s">
        <v>1058</v>
      </c>
      <c r="D1349" s="46" t="s">
        <v>302</v>
      </c>
      <c r="E1349" s="46" t="s">
        <v>303</v>
      </c>
      <c r="F1349" s="62">
        <v>480</v>
      </c>
      <c r="G1349" s="62">
        <v>596.6</v>
      </c>
      <c r="H1349" s="62">
        <v>676.7</v>
      </c>
      <c r="I1349" s="62">
        <v>676.7</v>
      </c>
      <c r="J1349" s="62">
        <v>676.7</v>
      </c>
      <c r="K1349" s="10"/>
    </row>
    <row r="1350" spans="1:11" x14ac:dyDescent="0.2">
      <c r="A1350" s="268" t="s">
        <v>1832</v>
      </c>
      <c r="B1350" s="258" t="s">
        <v>1223</v>
      </c>
      <c r="C1350" s="77" t="s">
        <v>1224</v>
      </c>
      <c r="D1350" s="135" t="s">
        <v>844</v>
      </c>
      <c r="E1350" s="77" t="s">
        <v>23</v>
      </c>
      <c r="F1350" s="75">
        <v>2</v>
      </c>
      <c r="G1350" s="75">
        <v>2</v>
      </c>
      <c r="H1350" s="75">
        <v>2</v>
      </c>
      <c r="I1350" s="75">
        <v>2</v>
      </c>
      <c r="J1350" s="75">
        <v>2</v>
      </c>
      <c r="K1350" s="10"/>
    </row>
    <row r="1351" spans="1:11" ht="52.5" customHeight="1" x14ac:dyDescent="0.2">
      <c r="A1351" s="268"/>
      <c r="B1351" s="258"/>
      <c r="C1351" s="81" t="s">
        <v>1058</v>
      </c>
      <c r="D1351" s="149" t="s">
        <v>302</v>
      </c>
      <c r="E1351" s="77" t="s">
        <v>303</v>
      </c>
      <c r="F1351" s="75">
        <v>483</v>
      </c>
      <c r="G1351" s="75">
        <v>1587.9</v>
      </c>
      <c r="H1351" s="75">
        <v>1503.5</v>
      </c>
      <c r="I1351" s="75">
        <v>1503.5</v>
      </c>
      <c r="J1351" s="75">
        <v>1503.5</v>
      </c>
      <c r="K1351" s="10"/>
    </row>
    <row r="1352" spans="1:11" s="166" customFormat="1" ht="21" customHeight="1" x14ac:dyDescent="0.25">
      <c r="A1352" s="286" t="s">
        <v>2155</v>
      </c>
      <c r="B1352" s="287"/>
      <c r="C1352" s="287"/>
      <c r="D1352" s="288"/>
      <c r="E1352" s="93" t="s">
        <v>31</v>
      </c>
      <c r="F1352" s="94">
        <f>F1144+F1145+F1147+F1148+F1150+F1152+F1153+F1155+F1156+F1157+F1159+F1161+F1162+F1164+F1165+F1166+F1168+F1169+F1170+F1172+F1173+F1175+F1176+F1178+F1179+F1181+F1182+F1184+F1186+F1188+F1189+F1190+F1192+F1194+F1196+F1198+F1199+F1200+F1202+F1203+F1204+F1206+F1207+F1208+F1210+F1211+F1213+F1215+F1216+F1217+F1219+F1220+F1222+F1224+F1225+F1226+F1228+F1229+F1230+F1232+F1233+F1235+F1236+F1237+F1238+F1240+F1241+F1243+F1244+F1246+F1247+F1248+F1250+F1251+F1252+F1254+F1255+F1257+F1259+F1260+F1262+F1264+F1265+F1267+F1269+F1271+F1273+F1275+F1277+F1279+F1281+F1283+F1285+F1287+F1289+F1291+F1293+F1295+F1296+F1298+F1299+F1301+F1303+F1304+F1306+F1307+F1309+F1311+F1313+F1314+F1316+F1317+F1318+F1320+F1322+F1324+F1326+F1327+F1329+F1331+F1333+F1335+F1337+F1339+F1341+F1343+F1345+F1347+F1349+F1351</f>
        <v>854105.2849999998</v>
      </c>
      <c r="G1352" s="94">
        <f t="shared" ref="G1352:J1352" si="31">G1144+G1145+G1147+G1148+G1150+G1152+G1153+G1155+G1156+G1157+G1159+G1161+G1162+G1164+G1165+G1166+G1168+G1169+G1170+G1172+G1173+G1175+G1176+G1178+G1179+G1181+G1182+G1184+G1186+G1188+G1189+G1190+G1192+G1194+G1196+G1198+G1199+G1200+G1202+G1203+G1204+G1206+G1207+G1208+G1210+G1211+G1213+G1215+G1216+G1217+G1219+G1220+G1222+G1224+G1225+G1226+G1228+G1229+G1230+G1232+G1233+G1235+G1236+G1237+G1238+G1240+G1241+G1243+G1244+G1246+G1247+G1248+G1250+G1251+G1252+G1254+G1255+G1257+G1259+G1260+G1262+G1264+G1265+G1267+G1269+G1271+G1273+G1275+G1277+G1279+G1281+G1283+G1285+G1287+G1289+G1291+G1293+G1295+G1296+G1298+G1299+G1301+G1303+G1304+G1306+G1307+G1309+G1311+G1313+G1314+G1316+G1317+G1318+G1320+G1322+G1324+G1326+G1327+G1329+G1331+G1333+G1335+G1337+G1339+G1341+G1343+G1345+G1347+G1349+G1351</f>
        <v>827675.85999999987</v>
      </c>
      <c r="H1352" s="94">
        <f t="shared" si="31"/>
        <v>776391.07899999956</v>
      </c>
      <c r="I1352" s="94">
        <f t="shared" si="31"/>
        <v>747376.24999999965</v>
      </c>
      <c r="J1352" s="94">
        <f t="shared" si="31"/>
        <v>782471.83399999968</v>
      </c>
      <c r="K1352" s="165"/>
    </row>
    <row r="1353" spans="1:11" s="125" customFormat="1" ht="21" customHeight="1" x14ac:dyDescent="0.25">
      <c r="A1353" s="170" t="s">
        <v>1397</v>
      </c>
      <c r="B1353" s="272" t="s">
        <v>1225</v>
      </c>
      <c r="C1353" s="273"/>
      <c r="D1353" s="273"/>
      <c r="E1353" s="273"/>
      <c r="F1353" s="273"/>
      <c r="G1353" s="273"/>
      <c r="H1353" s="273"/>
      <c r="I1353" s="273"/>
      <c r="J1353" s="274"/>
      <c r="K1353" s="124"/>
    </row>
    <row r="1354" spans="1:11" x14ac:dyDescent="0.2">
      <c r="A1354" s="268" t="s">
        <v>1398</v>
      </c>
      <c r="B1354" s="258" t="s">
        <v>1226</v>
      </c>
      <c r="C1354" s="133" t="s">
        <v>1227</v>
      </c>
      <c r="D1354" s="133" t="s">
        <v>1228</v>
      </c>
      <c r="E1354" s="133" t="s">
        <v>12</v>
      </c>
      <c r="F1354" s="49">
        <v>2</v>
      </c>
      <c r="G1354" s="49">
        <v>2</v>
      </c>
      <c r="H1354" s="49">
        <v>2</v>
      </c>
      <c r="I1354" s="49">
        <v>2</v>
      </c>
      <c r="J1354" s="49">
        <v>2</v>
      </c>
      <c r="K1354" s="10"/>
    </row>
    <row r="1355" spans="1:11" ht="51" x14ac:dyDescent="0.2">
      <c r="A1355" s="268"/>
      <c r="B1355" s="258"/>
      <c r="C1355" s="132" t="s">
        <v>1229</v>
      </c>
      <c r="D1355" s="133" t="s">
        <v>302</v>
      </c>
      <c r="E1355" s="133" t="s">
        <v>303</v>
      </c>
      <c r="F1355" s="49">
        <v>34362.43</v>
      </c>
      <c r="G1355" s="49">
        <v>31474.799999999999</v>
      </c>
      <c r="H1355" s="49">
        <v>32655.95</v>
      </c>
      <c r="I1355" s="49">
        <v>33330.11</v>
      </c>
      <c r="J1355" s="49">
        <v>33330.11</v>
      </c>
      <c r="K1355" s="10"/>
    </row>
    <row r="1356" spans="1:11" ht="25.5" x14ac:dyDescent="0.2">
      <c r="A1356" s="268" t="s">
        <v>1833</v>
      </c>
      <c r="B1356" s="258" t="s">
        <v>1230</v>
      </c>
      <c r="C1356" s="135" t="s">
        <v>1231</v>
      </c>
      <c r="D1356" s="135" t="s">
        <v>1232</v>
      </c>
      <c r="E1356" s="133" t="s">
        <v>1233</v>
      </c>
      <c r="F1356" s="49">
        <v>359.20299999999997</v>
      </c>
      <c r="G1356" s="49">
        <v>359.20299999999997</v>
      </c>
      <c r="H1356" s="49">
        <v>359.20299999999997</v>
      </c>
      <c r="I1356" s="49">
        <v>359.20299999999997</v>
      </c>
      <c r="J1356" s="49">
        <v>359.20299999999997</v>
      </c>
      <c r="K1356" s="10"/>
    </row>
    <row r="1357" spans="1:11" ht="51" x14ac:dyDescent="0.2">
      <c r="A1357" s="268"/>
      <c r="B1357" s="258"/>
      <c r="C1357" s="132" t="s">
        <v>1229</v>
      </c>
      <c r="D1357" s="133" t="s">
        <v>302</v>
      </c>
      <c r="E1357" s="133" t="s">
        <v>303</v>
      </c>
      <c r="F1357" s="49">
        <v>30702.53</v>
      </c>
      <c r="G1357" s="49">
        <v>27615.82</v>
      </c>
      <c r="H1357" s="49">
        <v>28664.67</v>
      </c>
      <c r="I1357" s="49">
        <v>28992.63</v>
      </c>
      <c r="J1357" s="49">
        <v>28992.63</v>
      </c>
      <c r="K1357" s="10"/>
    </row>
    <row r="1358" spans="1:11" ht="25.5" x14ac:dyDescent="0.2">
      <c r="A1358" s="268" t="s">
        <v>1834</v>
      </c>
      <c r="B1358" s="258" t="s">
        <v>1234</v>
      </c>
      <c r="C1358" s="135" t="s">
        <v>1235</v>
      </c>
      <c r="D1358" s="135" t="s">
        <v>1236</v>
      </c>
      <c r="E1358" s="133" t="s">
        <v>12</v>
      </c>
      <c r="F1358" s="49">
        <v>9</v>
      </c>
      <c r="G1358" s="49">
        <v>23</v>
      </c>
      <c r="H1358" s="49">
        <v>23</v>
      </c>
      <c r="I1358" s="49">
        <v>23</v>
      </c>
      <c r="J1358" s="49">
        <v>23</v>
      </c>
      <c r="K1358" s="10"/>
    </row>
    <row r="1359" spans="1:11" ht="51" x14ac:dyDescent="0.2">
      <c r="A1359" s="268"/>
      <c r="B1359" s="258"/>
      <c r="C1359" s="132" t="s">
        <v>1229</v>
      </c>
      <c r="D1359" s="133" t="s">
        <v>302</v>
      </c>
      <c r="E1359" s="133" t="s">
        <v>303</v>
      </c>
      <c r="F1359" s="49">
        <v>43105.54</v>
      </c>
      <c r="G1359" s="49">
        <v>93942.02</v>
      </c>
      <c r="H1359" s="49">
        <v>90952.86</v>
      </c>
      <c r="I1359" s="49">
        <f>55702.38+20.01</f>
        <v>55722.39</v>
      </c>
      <c r="J1359" s="49">
        <f>55702.38+20.01</f>
        <v>55722.39</v>
      </c>
      <c r="K1359" s="10"/>
    </row>
    <row r="1360" spans="1:11" x14ac:dyDescent="0.2">
      <c r="A1360" s="268" t="s">
        <v>1835</v>
      </c>
      <c r="B1360" s="258" t="s">
        <v>1237</v>
      </c>
      <c r="C1360" s="135" t="s">
        <v>1238</v>
      </c>
      <c r="D1360" s="133" t="s">
        <v>1228</v>
      </c>
      <c r="E1360" s="133" t="s">
        <v>12</v>
      </c>
      <c r="F1360" s="49">
        <v>1</v>
      </c>
      <c r="G1360" s="49">
        <v>1</v>
      </c>
      <c r="H1360" s="49">
        <v>1</v>
      </c>
      <c r="I1360" s="49">
        <v>1</v>
      </c>
      <c r="J1360" s="49">
        <v>1</v>
      </c>
      <c r="K1360" s="10"/>
    </row>
    <row r="1361" spans="1:11" ht="51" x14ac:dyDescent="0.2">
      <c r="A1361" s="268"/>
      <c r="B1361" s="258"/>
      <c r="C1361" s="132" t="s">
        <v>1229</v>
      </c>
      <c r="D1361" s="133" t="s">
        <v>302</v>
      </c>
      <c r="E1361" s="133" t="s">
        <v>303</v>
      </c>
      <c r="F1361" s="49">
        <f>868515.55+1900</f>
        <v>870415.55</v>
      </c>
      <c r="G1361" s="49">
        <f>913130.87-0.01</f>
        <v>913130.86</v>
      </c>
      <c r="H1361" s="49">
        <v>943184.23</v>
      </c>
      <c r="I1361" s="49">
        <v>913425.88</v>
      </c>
      <c r="J1361" s="49">
        <v>911499.47</v>
      </c>
      <c r="K1361" s="10"/>
    </row>
    <row r="1362" spans="1:11" x14ac:dyDescent="0.2">
      <c r="A1362" s="268" t="s">
        <v>1836</v>
      </c>
      <c r="B1362" s="258" t="s">
        <v>1239</v>
      </c>
      <c r="C1362" s="135" t="s">
        <v>1240</v>
      </c>
      <c r="D1362" s="135" t="s">
        <v>831</v>
      </c>
      <c r="E1362" s="133" t="s">
        <v>12</v>
      </c>
      <c r="F1362" s="49">
        <v>238</v>
      </c>
      <c r="G1362" s="49">
        <v>248</v>
      </c>
      <c r="H1362" s="49">
        <v>248</v>
      </c>
      <c r="I1362" s="49">
        <v>248</v>
      </c>
      <c r="J1362" s="49">
        <v>248</v>
      </c>
      <c r="K1362" s="10"/>
    </row>
    <row r="1363" spans="1:11" ht="51" x14ac:dyDescent="0.2">
      <c r="A1363" s="268"/>
      <c r="B1363" s="258"/>
      <c r="C1363" s="132" t="s">
        <v>1229</v>
      </c>
      <c r="D1363" s="133" t="s">
        <v>302</v>
      </c>
      <c r="E1363" s="133" t="s">
        <v>303</v>
      </c>
      <c r="F1363" s="49">
        <v>39953.97</v>
      </c>
      <c r="G1363" s="49">
        <v>139767.39000000001</v>
      </c>
      <c r="H1363" s="49">
        <v>111151.17</v>
      </c>
      <c r="I1363" s="49">
        <v>108188.72</v>
      </c>
      <c r="J1363" s="49">
        <v>108188.72</v>
      </c>
      <c r="K1363" s="10"/>
    </row>
    <row r="1364" spans="1:11" x14ac:dyDescent="0.2">
      <c r="A1364" s="268" t="s">
        <v>1837</v>
      </c>
      <c r="B1364" s="258" t="s">
        <v>1241</v>
      </c>
      <c r="C1364" s="135" t="s">
        <v>1161</v>
      </c>
      <c r="D1364" s="135" t="s">
        <v>1242</v>
      </c>
      <c r="E1364" s="133" t="s">
        <v>12</v>
      </c>
      <c r="F1364" s="49">
        <v>269</v>
      </c>
      <c r="G1364" s="49">
        <v>218</v>
      </c>
      <c r="H1364" s="49">
        <v>218</v>
      </c>
      <c r="I1364" s="49">
        <v>218</v>
      </c>
      <c r="J1364" s="49">
        <v>218</v>
      </c>
      <c r="K1364" s="10"/>
    </row>
    <row r="1365" spans="1:11" ht="51" x14ac:dyDescent="0.2">
      <c r="A1365" s="268"/>
      <c r="B1365" s="258"/>
      <c r="C1365" s="132" t="s">
        <v>1229</v>
      </c>
      <c r="D1365" s="133" t="s">
        <v>302</v>
      </c>
      <c r="E1365" s="133" t="s">
        <v>303</v>
      </c>
      <c r="F1365" s="49">
        <v>2216.2600000000002</v>
      </c>
      <c r="G1365" s="49">
        <v>1862.38</v>
      </c>
      <c r="H1365" s="49">
        <v>1879.37</v>
      </c>
      <c r="I1365" s="49">
        <v>1896.56</v>
      </c>
      <c r="J1365" s="49">
        <v>1964.28</v>
      </c>
      <c r="K1365" s="10"/>
    </row>
    <row r="1366" spans="1:11" x14ac:dyDescent="0.2">
      <c r="A1366" s="268"/>
      <c r="B1366" s="258"/>
      <c r="C1366" s="135" t="s">
        <v>1161</v>
      </c>
      <c r="D1366" s="135" t="s">
        <v>1243</v>
      </c>
      <c r="E1366" s="133" t="s">
        <v>12</v>
      </c>
      <c r="F1366" s="49">
        <v>213</v>
      </c>
      <c r="G1366" s="49">
        <v>120</v>
      </c>
      <c r="H1366" s="49">
        <v>120</v>
      </c>
      <c r="I1366" s="49">
        <v>120</v>
      </c>
      <c r="J1366" s="49">
        <v>120</v>
      </c>
      <c r="K1366" s="10"/>
    </row>
    <row r="1367" spans="1:11" ht="51" x14ac:dyDescent="0.2">
      <c r="A1367" s="268"/>
      <c r="B1367" s="258"/>
      <c r="C1367" s="132" t="s">
        <v>1229</v>
      </c>
      <c r="D1367" s="133" t="s">
        <v>302</v>
      </c>
      <c r="E1367" s="133" t="s">
        <v>303</v>
      </c>
      <c r="F1367" s="49">
        <v>8029.01</v>
      </c>
      <c r="G1367" s="49">
        <v>4655.93</v>
      </c>
      <c r="H1367" s="49">
        <v>4698.41</v>
      </c>
      <c r="I1367" s="49">
        <v>4741.41</v>
      </c>
      <c r="J1367" s="49">
        <v>4940.7</v>
      </c>
      <c r="K1367" s="10"/>
    </row>
    <row r="1368" spans="1:11" x14ac:dyDescent="0.2">
      <c r="A1368" s="268"/>
      <c r="B1368" s="258"/>
      <c r="C1368" s="135" t="s">
        <v>1161</v>
      </c>
      <c r="D1368" s="135" t="s">
        <v>1244</v>
      </c>
      <c r="E1368" s="133" t="s">
        <v>12</v>
      </c>
      <c r="F1368" s="49">
        <v>8970</v>
      </c>
      <c r="G1368" s="49">
        <v>7691</v>
      </c>
      <c r="H1368" s="49">
        <v>7691</v>
      </c>
      <c r="I1368" s="49">
        <v>7691</v>
      </c>
      <c r="J1368" s="49">
        <v>7691</v>
      </c>
      <c r="K1368" s="10"/>
    </row>
    <row r="1369" spans="1:11" ht="51" x14ac:dyDescent="0.2">
      <c r="A1369" s="268"/>
      <c r="B1369" s="258"/>
      <c r="C1369" s="132" t="s">
        <v>1229</v>
      </c>
      <c r="D1369" s="133" t="s">
        <v>302</v>
      </c>
      <c r="E1369" s="133" t="s">
        <v>303</v>
      </c>
      <c r="F1369" s="49">
        <v>3142.73</v>
      </c>
      <c r="G1369" s="49">
        <v>2793.56</v>
      </c>
      <c r="H1369" s="49">
        <v>2819.05</v>
      </c>
      <c r="I1369" s="49">
        <v>2844.85</v>
      </c>
      <c r="J1369" s="49">
        <v>2946.42</v>
      </c>
      <c r="K1369" s="10"/>
    </row>
    <row r="1370" spans="1:11" ht="25.5" x14ac:dyDescent="0.2">
      <c r="A1370" s="268" t="s">
        <v>1838</v>
      </c>
      <c r="B1370" s="258" t="s">
        <v>1245</v>
      </c>
      <c r="C1370" s="135" t="s">
        <v>1246</v>
      </c>
      <c r="D1370" s="135" t="s">
        <v>1247</v>
      </c>
      <c r="E1370" s="133" t="s">
        <v>1233</v>
      </c>
      <c r="F1370" s="49">
        <v>504.9</v>
      </c>
      <c r="G1370" s="49">
        <v>503</v>
      </c>
      <c r="H1370" s="49">
        <v>503</v>
      </c>
      <c r="I1370" s="49">
        <v>503</v>
      </c>
      <c r="J1370" s="49">
        <v>503</v>
      </c>
      <c r="K1370" s="10"/>
    </row>
    <row r="1371" spans="1:11" ht="51" x14ac:dyDescent="0.2">
      <c r="A1371" s="268"/>
      <c r="B1371" s="258"/>
      <c r="C1371" s="132" t="s">
        <v>1229</v>
      </c>
      <c r="D1371" s="133" t="s">
        <v>302</v>
      </c>
      <c r="E1371" s="133" t="s">
        <v>303</v>
      </c>
      <c r="F1371" s="49">
        <v>35948.730000000003</v>
      </c>
      <c r="G1371" s="49">
        <v>37247.599999999999</v>
      </c>
      <c r="H1371" s="49">
        <v>37587.42</v>
      </c>
      <c r="I1371" s="49">
        <v>37931.39</v>
      </c>
      <c r="J1371" s="49">
        <v>39255.57</v>
      </c>
      <c r="K1371" s="10"/>
    </row>
    <row r="1372" spans="1:11" x14ac:dyDescent="0.2">
      <c r="A1372" s="268" t="s">
        <v>1839</v>
      </c>
      <c r="B1372" s="258" t="s">
        <v>1248</v>
      </c>
      <c r="C1372" s="135" t="s">
        <v>1249</v>
      </c>
      <c r="D1372" s="135" t="s">
        <v>20</v>
      </c>
      <c r="E1372" s="133" t="s">
        <v>325</v>
      </c>
      <c r="F1372" s="49">
        <v>11204</v>
      </c>
      <c r="G1372" s="49">
        <v>9992</v>
      </c>
      <c r="H1372" s="49">
        <v>7622</v>
      </c>
      <c r="I1372" s="49">
        <v>5932</v>
      </c>
      <c r="J1372" s="49">
        <v>5170</v>
      </c>
      <c r="K1372" s="10"/>
    </row>
    <row r="1373" spans="1:11" ht="51" x14ac:dyDescent="0.2">
      <c r="A1373" s="268"/>
      <c r="B1373" s="258"/>
      <c r="C1373" s="132" t="s">
        <v>1250</v>
      </c>
      <c r="D1373" s="133" t="s">
        <v>302</v>
      </c>
      <c r="E1373" s="133" t="s">
        <v>303</v>
      </c>
      <c r="F1373" s="49">
        <v>889.28</v>
      </c>
      <c r="G1373" s="49">
        <v>807.81</v>
      </c>
      <c r="H1373" s="49">
        <v>324.08</v>
      </c>
      <c r="I1373" s="49">
        <v>287.24</v>
      </c>
      <c r="J1373" s="49">
        <v>250.34</v>
      </c>
      <c r="K1373" s="10"/>
    </row>
    <row r="1374" spans="1:11" x14ac:dyDescent="0.2">
      <c r="A1374" s="268" t="s">
        <v>1840</v>
      </c>
      <c r="B1374" s="258" t="s">
        <v>481</v>
      </c>
      <c r="C1374" s="135" t="s">
        <v>1251</v>
      </c>
      <c r="D1374" s="135" t="s">
        <v>20</v>
      </c>
      <c r="E1374" s="133" t="s">
        <v>325</v>
      </c>
      <c r="F1374" s="49">
        <v>177660</v>
      </c>
      <c r="G1374" s="49">
        <v>35490</v>
      </c>
      <c r="H1374" s="49">
        <v>28616</v>
      </c>
      <c r="I1374" s="49">
        <v>11312</v>
      </c>
      <c r="J1374" s="49">
        <v>13184</v>
      </c>
      <c r="K1374" s="10"/>
    </row>
    <row r="1375" spans="1:11" ht="51" x14ac:dyDescent="0.2">
      <c r="A1375" s="268"/>
      <c r="B1375" s="258"/>
      <c r="C1375" s="132" t="s">
        <v>1250</v>
      </c>
      <c r="D1375" s="133" t="s">
        <v>302</v>
      </c>
      <c r="E1375" s="133" t="s">
        <v>303</v>
      </c>
      <c r="F1375" s="49">
        <v>13932.09</v>
      </c>
      <c r="G1375" s="49">
        <v>2769.22</v>
      </c>
      <c r="H1375" s="49">
        <v>2216.2199999999998</v>
      </c>
      <c r="I1375" s="49">
        <v>943.54</v>
      </c>
      <c r="J1375" s="49">
        <v>1127.75</v>
      </c>
      <c r="K1375" s="10"/>
    </row>
    <row r="1376" spans="1:11" x14ac:dyDescent="0.2">
      <c r="A1376" s="268" t="s">
        <v>1841</v>
      </c>
      <c r="B1376" s="258" t="s">
        <v>1252</v>
      </c>
      <c r="C1376" s="132" t="s">
        <v>1253</v>
      </c>
      <c r="D1376" s="135" t="s">
        <v>20</v>
      </c>
      <c r="E1376" s="133" t="s">
        <v>325</v>
      </c>
      <c r="F1376" s="49" t="s">
        <v>780</v>
      </c>
      <c r="G1376" s="49">
        <v>145882</v>
      </c>
      <c r="H1376" s="49">
        <v>176422</v>
      </c>
      <c r="I1376" s="49">
        <v>176539</v>
      </c>
      <c r="J1376" s="49">
        <v>177076</v>
      </c>
      <c r="K1376" s="10"/>
    </row>
    <row r="1377" spans="1:11" ht="51" x14ac:dyDescent="0.2">
      <c r="A1377" s="268"/>
      <c r="B1377" s="258"/>
      <c r="C1377" s="132" t="s">
        <v>1250</v>
      </c>
      <c r="D1377" s="133" t="s">
        <v>302</v>
      </c>
      <c r="E1377" s="133" t="s">
        <v>303</v>
      </c>
      <c r="F1377" s="49" t="s">
        <v>780</v>
      </c>
      <c r="G1377" s="49">
        <v>11382.88</v>
      </c>
      <c r="H1377" s="49">
        <v>13663.34</v>
      </c>
      <c r="I1377" s="49">
        <v>14725.26</v>
      </c>
      <c r="J1377" s="49">
        <v>15143.3</v>
      </c>
      <c r="K1377" s="10"/>
    </row>
    <row r="1378" spans="1:11" s="102" customFormat="1" ht="27.75" customHeight="1" x14ac:dyDescent="0.25">
      <c r="A1378" s="172"/>
      <c r="B1378" s="280" t="s">
        <v>1254</v>
      </c>
      <c r="C1378" s="281"/>
      <c r="D1378" s="282"/>
      <c r="E1378" s="126" t="s">
        <v>303</v>
      </c>
      <c r="F1378" s="94">
        <f>+F1375+F1373+F1371+F1369+F1367+F1365+F1363+F1361+F1359+F1357+F1355</f>
        <v>1082698.1200000001</v>
      </c>
      <c r="G1378" s="94">
        <f t="shared" ref="G1378:J1378" si="32">+G1375+G1373+G1371+G1369+G1367+G1365+G1363+G1361+G1359+G1357+G1355+G1377</f>
        <v>1267450.27</v>
      </c>
      <c r="H1378" s="94">
        <f t="shared" si="32"/>
        <v>1269796.77</v>
      </c>
      <c r="I1378" s="94">
        <f t="shared" si="32"/>
        <v>1203029.98</v>
      </c>
      <c r="J1378" s="94">
        <f t="shared" si="32"/>
        <v>1203361.68</v>
      </c>
      <c r="K1378" s="101"/>
    </row>
    <row r="1379" spans="1:11" s="92" customFormat="1" ht="24.75" customHeight="1" x14ac:dyDescent="0.25">
      <c r="A1379" s="170">
        <v>18</v>
      </c>
      <c r="B1379" s="261" t="s">
        <v>1255</v>
      </c>
      <c r="C1379" s="262"/>
      <c r="D1379" s="262"/>
      <c r="E1379" s="262"/>
      <c r="F1379" s="262"/>
      <c r="G1379" s="262"/>
      <c r="H1379" s="262"/>
      <c r="I1379" s="262"/>
      <c r="J1379" s="263"/>
      <c r="K1379" s="91"/>
    </row>
    <row r="1380" spans="1:11" ht="25.5" x14ac:dyDescent="0.2">
      <c r="A1380" s="268" t="s">
        <v>1399</v>
      </c>
      <c r="B1380" s="258" t="s">
        <v>1256</v>
      </c>
      <c r="C1380" s="133" t="s">
        <v>1257</v>
      </c>
      <c r="D1380" s="133" t="s">
        <v>1258</v>
      </c>
      <c r="E1380" s="135" t="s">
        <v>67</v>
      </c>
      <c r="F1380" s="49">
        <v>11</v>
      </c>
      <c r="G1380" s="49">
        <v>12</v>
      </c>
      <c r="H1380" s="49">
        <v>12</v>
      </c>
      <c r="I1380" s="49">
        <v>12</v>
      </c>
      <c r="J1380" s="49">
        <v>12</v>
      </c>
      <c r="K1380" s="10"/>
    </row>
    <row r="1381" spans="1:11" ht="51" x14ac:dyDescent="0.2">
      <c r="A1381" s="268"/>
      <c r="B1381" s="258"/>
      <c r="C1381" s="50">
        <v>8.2204080500400505E+19</v>
      </c>
      <c r="D1381" s="133" t="s">
        <v>302</v>
      </c>
      <c r="E1381" s="133" t="s">
        <v>303</v>
      </c>
      <c r="F1381" s="49">
        <v>710</v>
      </c>
      <c r="G1381" s="49">
        <v>780</v>
      </c>
      <c r="H1381" s="49">
        <v>780</v>
      </c>
      <c r="I1381" s="49">
        <v>780</v>
      </c>
      <c r="J1381" s="49">
        <v>780</v>
      </c>
      <c r="K1381" s="10"/>
    </row>
    <row r="1382" spans="1:11" s="102" customFormat="1" ht="30" customHeight="1" x14ac:dyDescent="0.25">
      <c r="A1382" s="171"/>
      <c r="B1382" s="280" t="s">
        <v>1259</v>
      </c>
      <c r="C1382" s="281"/>
      <c r="D1382" s="282"/>
      <c r="E1382" s="127" t="s">
        <v>303</v>
      </c>
      <c r="F1382" s="94">
        <v>710</v>
      </c>
      <c r="G1382" s="94">
        <v>780</v>
      </c>
      <c r="H1382" s="100">
        <v>780</v>
      </c>
      <c r="I1382" s="100">
        <v>780</v>
      </c>
      <c r="J1382" s="100">
        <v>780</v>
      </c>
      <c r="K1382" s="101"/>
    </row>
    <row r="1383" spans="1:11" s="92" customFormat="1" ht="28.5" customHeight="1" x14ac:dyDescent="0.25">
      <c r="A1383" s="170">
        <v>19</v>
      </c>
      <c r="B1383" s="272" t="s">
        <v>1260</v>
      </c>
      <c r="C1383" s="273"/>
      <c r="D1383" s="273"/>
      <c r="E1383" s="273"/>
      <c r="F1383" s="273"/>
      <c r="G1383" s="273"/>
      <c r="H1383" s="273"/>
      <c r="I1383" s="273"/>
      <c r="J1383" s="274"/>
      <c r="K1383" s="91"/>
    </row>
    <row r="1384" spans="1:11" ht="49.5" customHeight="1" x14ac:dyDescent="0.2">
      <c r="A1384" s="268" t="s">
        <v>1400</v>
      </c>
      <c r="B1384" s="289" t="s">
        <v>1261</v>
      </c>
      <c r="C1384" s="135" t="s">
        <v>1262</v>
      </c>
      <c r="D1384" s="133" t="s">
        <v>1263</v>
      </c>
      <c r="E1384" s="133" t="s">
        <v>757</v>
      </c>
      <c r="F1384" s="49">
        <v>5</v>
      </c>
      <c r="G1384" s="49">
        <v>5</v>
      </c>
      <c r="H1384" s="49">
        <v>5</v>
      </c>
      <c r="I1384" s="49">
        <v>5</v>
      </c>
      <c r="J1384" s="49">
        <v>5</v>
      </c>
      <c r="K1384" s="10"/>
    </row>
    <row r="1385" spans="1:11" ht="57.75" customHeight="1" x14ac:dyDescent="0.2">
      <c r="A1385" s="268"/>
      <c r="B1385" s="289"/>
      <c r="C1385" s="137" t="s">
        <v>1264</v>
      </c>
      <c r="D1385" s="133" t="s">
        <v>302</v>
      </c>
      <c r="E1385" s="133" t="s">
        <v>303</v>
      </c>
      <c r="F1385" s="49">
        <v>272.8</v>
      </c>
      <c r="G1385" s="49">
        <v>530</v>
      </c>
      <c r="H1385" s="49">
        <v>641.55999999999995</v>
      </c>
      <c r="I1385" s="49">
        <v>641.54999999999995</v>
      </c>
      <c r="J1385" s="49">
        <v>641.54999999999995</v>
      </c>
      <c r="K1385" s="10"/>
    </row>
    <row r="1386" spans="1:11" ht="38.25" x14ac:dyDescent="0.2">
      <c r="A1386" s="284" t="s">
        <v>1842</v>
      </c>
      <c r="B1386" s="289" t="s">
        <v>1265</v>
      </c>
      <c r="C1386" s="135" t="s">
        <v>1266</v>
      </c>
      <c r="D1386" s="133" t="s">
        <v>1263</v>
      </c>
      <c r="E1386" s="133" t="s">
        <v>757</v>
      </c>
      <c r="F1386" s="49">
        <v>4</v>
      </c>
      <c r="G1386" s="49">
        <v>4</v>
      </c>
      <c r="H1386" s="49">
        <v>4</v>
      </c>
      <c r="I1386" s="49">
        <v>4</v>
      </c>
      <c r="J1386" s="49">
        <v>4</v>
      </c>
      <c r="K1386" s="10"/>
    </row>
    <row r="1387" spans="1:11" ht="51" x14ac:dyDescent="0.2">
      <c r="A1387" s="285"/>
      <c r="B1387" s="289" t="s">
        <v>1267</v>
      </c>
      <c r="C1387" s="137" t="s">
        <v>1264</v>
      </c>
      <c r="D1387" s="133" t="s">
        <v>302</v>
      </c>
      <c r="E1387" s="133" t="s">
        <v>303</v>
      </c>
      <c r="F1387" s="49">
        <v>2179.4</v>
      </c>
      <c r="G1387" s="49">
        <v>3361</v>
      </c>
      <c r="H1387" s="49">
        <v>4068.7</v>
      </c>
      <c r="I1387" s="49">
        <v>4068.7</v>
      </c>
      <c r="J1387" s="49">
        <v>4068.7</v>
      </c>
      <c r="K1387" s="10"/>
    </row>
    <row r="1388" spans="1:11" ht="38.25" x14ac:dyDescent="0.2">
      <c r="A1388" s="284" t="s">
        <v>1843</v>
      </c>
      <c r="B1388" s="289" t="s">
        <v>1268</v>
      </c>
      <c r="C1388" s="135" t="s">
        <v>1269</v>
      </c>
      <c r="D1388" s="133" t="s">
        <v>1263</v>
      </c>
      <c r="E1388" s="133" t="s">
        <v>757</v>
      </c>
      <c r="F1388" s="49">
        <v>4</v>
      </c>
      <c r="G1388" s="49">
        <v>4</v>
      </c>
      <c r="H1388" s="49">
        <v>4</v>
      </c>
      <c r="I1388" s="49">
        <v>4</v>
      </c>
      <c r="J1388" s="49">
        <v>4</v>
      </c>
      <c r="K1388" s="10"/>
    </row>
    <row r="1389" spans="1:11" ht="51" x14ac:dyDescent="0.2">
      <c r="A1389" s="285"/>
      <c r="B1389" s="289"/>
      <c r="C1389" s="137" t="s">
        <v>1264</v>
      </c>
      <c r="D1389" s="133" t="s">
        <v>302</v>
      </c>
      <c r="E1389" s="133" t="s">
        <v>303</v>
      </c>
      <c r="F1389" s="49">
        <v>287.10000000000002</v>
      </c>
      <c r="G1389" s="49">
        <v>558.29999999999995</v>
      </c>
      <c r="H1389" s="49">
        <v>675.8</v>
      </c>
      <c r="I1389" s="49">
        <v>675.8</v>
      </c>
      <c r="J1389" s="49">
        <v>675.8</v>
      </c>
      <c r="K1389" s="10"/>
    </row>
    <row r="1390" spans="1:11" ht="38.25" x14ac:dyDescent="0.2">
      <c r="A1390" s="268" t="s">
        <v>1844</v>
      </c>
      <c r="B1390" s="289" t="s">
        <v>1270</v>
      </c>
      <c r="C1390" s="135" t="s">
        <v>1271</v>
      </c>
      <c r="D1390" s="133" t="s">
        <v>1263</v>
      </c>
      <c r="E1390" s="133" t="s">
        <v>757</v>
      </c>
      <c r="F1390" s="49">
        <v>4</v>
      </c>
      <c r="G1390" s="49">
        <v>4</v>
      </c>
      <c r="H1390" s="49">
        <v>4</v>
      </c>
      <c r="I1390" s="49">
        <v>4</v>
      </c>
      <c r="J1390" s="49">
        <v>4</v>
      </c>
      <c r="K1390" s="10"/>
    </row>
    <row r="1391" spans="1:11" ht="51" x14ac:dyDescent="0.2">
      <c r="A1391" s="268"/>
      <c r="B1391" s="289"/>
      <c r="C1391" s="137" t="s">
        <v>1264</v>
      </c>
      <c r="D1391" s="133" t="s">
        <v>302</v>
      </c>
      <c r="E1391" s="133" t="s">
        <v>303</v>
      </c>
      <c r="F1391" s="49">
        <v>306</v>
      </c>
      <c r="G1391" s="49">
        <v>593.6</v>
      </c>
      <c r="H1391" s="49">
        <v>718.8</v>
      </c>
      <c r="I1391" s="49">
        <v>718.8</v>
      </c>
      <c r="J1391" s="49">
        <v>718.8</v>
      </c>
      <c r="K1391" s="10"/>
    </row>
    <row r="1392" spans="1:11" s="164" customFormat="1" ht="38.25" x14ac:dyDescent="0.2">
      <c r="A1392" s="150" t="s">
        <v>1845</v>
      </c>
      <c r="B1392" s="145"/>
      <c r="C1392" s="80"/>
      <c r="D1392" s="145" t="str">
        <f>'[1]1'!$D$15</f>
        <v>Возврат части неизрасходованной субсидии в 2020г.</v>
      </c>
      <c r="E1392" s="145" t="s">
        <v>1272</v>
      </c>
      <c r="F1392" s="63">
        <f>'[1]1'!$F$15</f>
        <v>36.200000000000003</v>
      </c>
      <c r="G1392" s="63"/>
      <c r="H1392" s="63"/>
      <c r="I1392" s="63"/>
      <c r="J1392" s="63"/>
      <c r="K1392" s="163"/>
    </row>
    <row r="1393" spans="1:11" x14ac:dyDescent="0.2">
      <c r="A1393" s="268" t="s">
        <v>1846</v>
      </c>
      <c r="B1393" s="289" t="s">
        <v>2028</v>
      </c>
      <c r="C1393" s="135" t="s">
        <v>1273</v>
      </c>
      <c r="D1393" s="133" t="s">
        <v>1274</v>
      </c>
      <c r="E1393" s="133" t="s">
        <v>757</v>
      </c>
      <c r="F1393" s="49"/>
      <c r="G1393" s="49">
        <v>75</v>
      </c>
      <c r="H1393" s="49"/>
      <c r="I1393" s="49"/>
      <c r="J1393" s="49"/>
      <c r="K1393" s="10"/>
    </row>
    <row r="1394" spans="1:11" ht="51" x14ac:dyDescent="0.2">
      <c r="A1394" s="268"/>
      <c r="B1394" s="289"/>
      <c r="C1394" s="137" t="s">
        <v>1275</v>
      </c>
      <c r="D1394" s="133" t="s">
        <v>302</v>
      </c>
      <c r="E1394" s="133" t="s">
        <v>303</v>
      </c>
      <c r="F1394" s="49">
        <v>267.04000000000002</v>
      </c>
      <c r="G1394" s="49">
        <v>10000</v>
      </c>
      <c r="H1394" s="49"/>
      <c r="I1394" s="49"/>
      <c r="J1394" s="49"/>
      <c r="K1394" s="10"/>
    </row>
    <row r="1395" spans="1:11" ht="25.5" x14ac:dyDescent="0.2">
      <c r="A1395" s="268" t="s">
        <v>1847</v>
      </c>
      <c r="B1395" s="289" t="s">
        <v>1276</v>
      </c>
      <c r="C1395" s="135" t="s">
        <v>1277</v>
      </c>
      <c r="D1395" s="133" t="s">
        <v>1278</v>
      </c>
      <c r="E1395" s="133" t="s">
        <v>757</v>
      </c>
      <c r="F1395" s="49"/>
      <c r="G1395" s="49">
        <v>7</v>
      </c>
      <c r="H1395" s="49">
        <v>3</v>
      </c>
      <c r="I1395" s="49">
        <v>3</v>
      </c>
      <c r="J1395" s="49">
        <v>3</v>
      </c>
      <c r="K1395" s="10"/>
    </row>
    <row r="1396" spans="1:11" ht="51" x14ac:dyDescent="0.2">
      <c r="A1396" s="268"/>
      <c r="B1396" s="289"/>
      <c r="C1396" s="137" t="s">
        <v>1279</v>
      </c>
      <c r="D1396" s="133" t="s">
        <v>302</v>
      </c>
      <c r="E1396" s="133" t="s">
        <v>303</v>
      </c>
      <c r="F1396" s="49"/>
      <c r="G1396" s="49">
        <v>96659.04</v>
      </c>
      <c r="H1396" s="49">
        <f>20577.5+8139.49</f>
        <v>28716.989999999998</v>
      </c>
      <c r="I1396" s="49">
        <v>8139.49</v>
      </c>
      <c r="J1396" s="49">
        <v>8139.49</v>
      </c>
      <c r="K1396" s="10"/>
    </row>
    <row r="1397" spans="1:11" ht="25.5" x14ac:dyDescent="0.2">
      <c r="A1397" s="268" t="s">
        <v>1848</v>
      </c>
      <c r="B1397" s="289" t="s">
        <v>1280</v>
      </c>
      <c r="C1397" s="135" t="s">
        <v>1281</v>
      </c>
      <c r="D1397" s="133" t="s">
        <v>1278</v>
      </c>
      <c r="E1397" s="133" t="s">
        <v>757</v>
      </c>
      <c r="F1397" s="49"/>
      <c r="G1397" s="49">
        <v>1</v>
      </c>
      <c r="H1397" s="49"/>
      <c r="I1397" s="49"/>
      <c r="J1397" s="49"/>
      <c r="K1397" s="10"/>
    </row>
    <row r="1398" spans="1:11" ht="51" x14ac:dyDescent="0.2">
      <c r="A1398" s="268"/>
      <c r="B1398" s="289"/>
      <c r="C1398" s="137" t="s">
        <v>1279</v>
      </c>
      <c r="D1398" s="133" t="s">
        <v>302</v>
      </c>
      <c r="E1398" s="133" t="s">
        <v>303</v>
      </c>
      <c r="F1398" s="49"/>
      <c r="G1398" s="49">
        <v>1214.33</v>
      </c>
      <c r="H1398" s="49"/>
      <c r="I1398" s="49"/>
      <c r="J1398" s="49"/>
      <c r="K1398" s="10"/>
    </row>
    <row r="1399" spans="1:11" ht="15" x14ac:dyDescent="0.2">
      <c r="A1399" s="268" t="s">
        <v>1849</v>
      </c>
      <c r="B1399" s="290" t="s">
        <v>1282</v>
      </c>
      <c r="C1399" s="82" t="s">
        <v>821</v>
      </c>
      <c r="D1399" s="134"/>
      <c r="E1399" s="134"/>
      <c r="F1399" s="51"/>
      <c r="G1399" s="51">
        <v>5</v>
      </c>
      <c r="H1399" s="51"/>
      <c r="I1399" s="51"/>
      <c r="J1399" s="51"/>
      <c r="K1399" s="10"/>
    </row>
    <row r="1400" spans="1:11" ht="60" x14ac:dyDescent="0.2">
      <c r="A1400" s="268"/>
      <c r="B1400" s="290"/>
      <c r="C1400" s="82" t="s">
        <v>1279</v>
      </c>
      <c r="D1400" s="134" t="s">
        <v>302</v>
      </c>
      <c r="E1400" s="134" t="s">
        <v>303</v>
      </c>
      <c r="F1400" s="51"/>
      <c r="G1400" s="51">
        <v>5080.6400000000003</v>
      </c>
      <c r="H1400" s="51"/>
      <c r="I1400" s="51"/>
      <c r="J1400" s="51"/>
      <c r="K1400" s="10"/>
    </row>
    <row r="1401" spans="1:11" ht="15" x14ac:dyDescent="0.2">
      <c r="A1401" s="268" t="s">
        <v>1850</v>
      </c>
      <c r="B1401" s="291" t="s">
        <v>1283</v>
      </c>
      <c r="C1401" s="52" t="s">
        <v>1284</v>
      </c>
      <c r="D1401" s="52" t="s">
        <v>1285</v>
      </c>
      <c r="E1401" s="134" t="s">
        <v>757</v>
      </c>
      <c r="F1401" s="51">
        <v>1</v>
      </c>
      <c r="G1401" s="51">
        <v>0</v>
      </c>
      <c r="H1401" s="51">
        <v>0</v>
      </c>
      <c r="I1401" s="51">
        <v>0</v>
      </c>
      <c r="J1401" s="51">
        <v>0</v>
      </c>
      <c r="K1401" s="10"/>
    </row>
    <row r="1402" spans="1:11" ht="60" x14ac:dyDescent="0.2">
      <c r="A1402" s="268"/>
      <c r="B1402" s="292"/>
      <c r="C1402" s="153" t="s">
        <v>1286</v>
      </c>
      <c r="D1402" s="134" t="s">
        <v>302</v>
      </c>
      <c r="E1402" s="52" t="s">
        <v>1272</v>
      </c>
      <c r="F1402" s="51">
        <v>1578.191</v>
      </c>
      <c r="G1402" s="51">
        <v>0</v>
      </c>
      <c r="H1402" s="51">
        <v>0</v>
      </c>
      <c r="I1402" s="51">
        <v>0</v>
      </c>
      <c r="J1402" s="51">
        <v>0</v>
      </c>
      <c r="K1402" s="10"/>
    </row>
    <row r="1403" spans="1:11" ht="60" x14ac:dyDescent="0.2">
      <c r="A1403" s="268" t="s">
        <v>1851</v>
      </c>
      <c r="B1403" s="291" t="s">
        <v>1287</v>
      </c>
      <c r="C1403" s="52" t="s">
        <v>1288</v>
      </c>
      <c r="D1403" s="52" t="s">
        <v>1289</v>
      </c>
      <c r="E1403" s="134" t="s">
        <v>757</v>
      </c>
      <c r="F1403" s="51" t="s">
        <v>1290</v>
      </c>
      <c r="G1403" s="51">
        <v>0</v>
      </c>
      <c r="H1403" s="51">
        <v>0</v>
      </c>
      <c r="I1403" s="51">
        <v>0</v>
      </c>
      <c r="J1403" s="51">
        <v>0</v>
      </c>
      <c r="K1403" s="10"/>
    </row>
    <row r="1404" spans="1:11" ht="60" x14ac:dyDescent="0.2">
      <c r="A1404" s="268"/>
      <c r="B1404" s="292"/>
      <c r="C1404" s="153" t="s">
        <v>1286</v>
      </c>
      <c r="D1404" s="134" t="s">
        <v>302</v>
      </c>
      <c r="E1404" s="52" t="s">
        <v>1272</v>
      </c>
      <c r="F1404" s="51">
        <v>868.005</v>
      </c>
      <c r="G1404" s="51">
        <v>0</v>
      </c>
      <c r="H1404" s="51">
        <v>0</v>
      </c>
      <c r="I1404" s="51">
        <v>0</v>
      </c>
      <c r="J1404" s="51">
        <v>0</v>
      </c>
      <c r="K1404" s="10"/>
    </row>
    <row r="1405" spans="1:11" ht="15" x14ac:dyDescent="0.2">
      <c r="A1405" s="268" t="s">
        <v>1852</v>
      </c>
      <c r="B1405" s="291" t="s">
        <v>1291</v>
      </c>
      <c r="C1405" s="52" t="s">
        <v>1292</v>
      </c>
      <c r="D1405" s="52" t="s">
        <v>1293</v>
      </c>
      <c r="E1405" s="134" t="s">
        <v>757</v>
      </c>
      <c r="F1405" s="51">
        <v>2</v>
      </c>
      <c r="G1405" s="51">
        <v>0</v>
      </c>
      <c r="H1405" s="51">
        <v>0</v>
      </c>
      <c r="I1405" s="51">
        <v>0</v>
      </c>
      <c r="J1405" s="51">
        <v>0</v>
      </c>
      <c r="K1405" s="10"/>
    </row>
    <row r="1406" spans="1:11" ht="60" x14ac:dyDescent="0.2">
      <c r="A1406" s="268"/>
      <c r="B1406" s="292"/>
      <c r="C1406" s="153" t="s">
        <v>1286</v>
      </c>
      <c r="D1406" s="134" t="s">
        <v>302</v>
      </c>
      <c r="E1406" s="52" t="s">
        <v>1272</v>
      </c>
      <c r="F1406" s="51">
        <v>1341.463</v>
      </c>
      <c r="G1406" s="51">
        <v>0</v>
      </c>
      <c r="H1406" s="51">
        <v>0</v>
      </c>
      <c r="I1406" s="51">
        <v>0</v>
      </c>
      <c r="J1406" s="51">
        <v>0</v>
      </c>
      <c r="K1406" s="10"/>
    </row>
    <row r="1407" spans="1:11" ht="90" x14ac:dyDescent="0.2">
      <c r="A1407" s="268" t="s">
        <v>1853</v>
      </c>
      <c r="B1407" s="291" t="s">
        <v>1294</v>
      </c>
      <c r="C1407" s="52" t="s">
        <v>1295</v>
      </c>
      <c r="D1407" s="52" t="s">
        <v>1296</v>
      </c>
      <c r="E1407" s="52" t="s">
        <v>757</v>
      </c>
      <c r="F1407" s="51" t="s">
        <v>1297</v>
      </c>
      <c r="G1407" s="51">
        <v>0</v>
      </c>
      <c r="H1407" s="51">
        <v>0</v>
      </c>
      <c r="I1407" s="51">
        <v>0</v>
      </c>
      <c r="J1407" s="51">
        <v>0</v>
      </c>
      <c r="K1407" s="10"/>
    </row>
    <row r="1408" spans="1:11" ht="60" x14ac:dyDescent="0.2">
      <c r="A1408" s="268"/>
      <c r="B1408" s="292"/>
      <c r="C1408" s="153" t="s">
        <v>1286</v>
      </c>
      <c r="D1408" s="134" t="s">
        <v>302</v>
      </c>
      <c r="E1408" s="52" t="s">
        <v>1272</v>
      </c>
      <c r="F1408" s="51">
        <v>4103.2979999999998</v>
      </c>
      <c r="G1408" s="51">
        <v>0</v>
      </c>
      <c r="H1408" s="51">
        <v>0</v>
      </c>
      <c r="I1408" s="51">
        <v>0</v>
      </c>
      <c r="J1408" s="51">
        <v>0</v>
      </c>
      <c r="K1408" s="10"/>
    </row>
    <row r="1409" spans="1:11" ht="15" x14ac:dyDescent="0.2">
      <c r="A1409" s="268" t="s">
        <v>1854</v>
      </c>
      <c r="B1409" s="291" t="s">
        <v>1298</v>
      </c>
      <c r="C1409" s="52" t="s">
        <v>1299</v>
      </c>
      <c r="D1409" s="52" t="s">
        <v>1300</v>
      </c>
      <c r="E1409" s="52" t="s">
        <v>1086</v>
      </c>
      <c r="F1409" s="51">
        <v>0</v>
      </c>
      <c r="G1409" s="51">
        <v>0</v>
      </c>
      <c r="H1409" s="51">
        <v>0</v>
      </c>
      <c r="I1409" s="51">
        <v>0</v>
      </c>
      <c r="J1409" s="51">
        <v>0</v>
      </c>
      <c r="K1409" s="10"/>
    </row>
    <row r="1410" spans="1:11" ht="60" x14ac:dyDescent="0.2">
      <c r="A1410" s="268"/>
      <c r="B1410" s="292"/>
      <c r="C1410" s="153" t="s">
        <v>1286</v>
      </c>
      <c r="D1410" s="134" t="s">
        <v>302</v>
      </c>
      <c r="E1410" s="52" t="s">
        <v>1272</v>
      </c>
      <c r="F1410" s="51">
        <v>0</v>
      </c>
      <c r="G1410" s="51">
        <v>0</v>
      </c>
      <c r="H1410" s="51">
        <v>0</v>
      </c>
      <c r="I1410" s="51">
        <v>0</v>
      </c>
      <c r="J1410" s="51">
        <v>0</v>
      </c>
      <c r="K1410" s="10"/>
    </row>
    <row r="1411" spans="1:11" s="89" customFormat="1" ht="23.25" customHeight="1" x14ac:dyDescent="0.2">
      <c r="A1411" s="178"/>
      <c r="B1411" s="295" t="s">
        <v>1301</v>
      </c>
      <c r="C1411" s="296"/>
      <c r="D1411" s="297"/>
      <c r="E1411" s="128" t="s">
        <v>1272</v>
      </c>
      <c r="F1411" s="87">
        <f>F1385+F1387+F1389+F1391+F1392+F1394+F1396+F1398+F1400+F1402+F1404+F1406+F1408</f>
        <v>11239.496999999999</v>
      </c>
      <c r="G1411" s="87">
        <f>G1385+G1387+G1389+G1391+G1392+G1394+G1396+G1398+G1400</f>
        <v>117996.91</v>
      </c>
      <c r="H1411" s="87">
        <f>H1385+H1387+H1389+H1391+H1392+H1394+H1396+H1398+H1400</f>
        <v>34821.85</v>
      </c>
      <c r="I1411" s="87">
        <f>I1385+I1387+I1389+I1391+I1392+I1394+I1396+I1398+I1400</f>
        <v>14244.34</v>
      </c>
      <c r="J1411" s="87">
        <f>J1385+J1387+J1389+J1391+J1392+J1394+J1396+J1398+J1400</f>
        <v>14244.34</v>
      </c>
      <c r="K1411" s="88"/>
    </row>
    <row r="1412" spans="1:11" s="86" customFormat="1" ht="28.5" customHeight="1" x14ac:dyDescent="0.2">
      <c r="A1412" s="179">
        <v>20</v>
      </c>
      <c r="B1412" s="298" t="s">
        <v>1302</v>
      </c>
      <c r="C1412" s="299"/>
      <c r="D1412" s="299"/>
      <c r="E1412" s="299"/>
      <c r="F1412" s="299"/>
      <c r="G1412" s="299"/>
      <c r="H1412" s="299"/>
      <c r="I1412" s="299"/>
      <c r="J1412" s="300"/>
      <c r="K1412" s="85"/>
    </row>
    <row r="1413" spans="1:11" ht="15" x14ac:dyDescent="0.2">
      <c r="A1413" s="293" t="s">
        <v>1402</v>
      </c>
      <c r="B1413" s="291" t="s">
        <v>1303</v>
      </c>
      <c r="C1413" s="52" t="s">
        <v>1304</v>
      </c>
      <c r="D1413" s="52" t="s">
        <v>1305</v>
      </c>
      <c r="E1413" s="53" t="s">
        <v>1306</v>
      </c>
      <c r="F1413" s="51">
        <v>0</v>
      </c>
      <c r="G1413" s="64">
        <v>1295.5</v>
      </c>
      <c r="H1413" s="51">
        <v>0</v>
      </c>
      <c r="I1413" s="51">
        <v>0</v>
      </c>
      <c r="J1413" s="51">
        <v>0</v>
      </c>
      <c r="K1413" s="10"/>
    </row>
    <row r="1414" spans="1:11" ht="60" x14ac:dyDescent="0.2">
      <c r="A1414" s="294"/>
      <c r="B1414" s="292"/>
      <c r="C1414" s="82" t="s">
        <v>1307</v>
      </c>
      <c r="D1414" s="158" t="s">
        <v>302</v>
      </c>
      <c r="E1414" s="52" t="s">
        <v>1272</v>
      </c>
      <c r="F1414" s="51">
        <v>2340.1</v>
      </c>
      <c r="G1414" s="51">
        <v>11757.093000000001</v>
      </c>
      <c r="H1414" s="51">
        <v>0</v>
      </c>
      <c r="I1414" s="51">
        <v>0</v>
      </c>
      <c r="J1414" s="51">
        <v>0</v>
      </c>
      <c r="K1414" s="10"/>
    </row>
    <row r="1415" spans="1:11" ht="15" x14ac:dyDescent="0.2">
      <c r="A1415" s="293" t="s">
        <v>1855</v>
      </c>
      <c r="B1415" s="291" t="s">
        <v>1308</v>
      </c>
      <c r="C1415" s="52" t="s">
        <v>1309</v>
      </c>
      <c r="D1415" s="52" t="s">
        <v>1310</v>
      </c>
      <c r="E1415" s="52" t="s">
        <v>770</v>
      </c>
      <c r="F1415" s="51">
        <v>0</v>
      </c>
      <c r="G1415" s="51">
        <v>90</v>
      </c>
      <c r="H1415" s="51">
        <v>0</v>
      </c>
      <c r="I1415" s="51">
        <v>0</v>
      </c>
      <c r="J1415" s="51">
        <v>0</v>
      </c>
      <c r="K1415" s="10"/>
    </row>
    <row r="1416" spans="1:11" ht="60" x14ac:dyDescent="0.2">
      <c r="A1416" s="294"/>
      <c r="B1416" s="292"/>
      <c r="C1416" s="82" t="s">
        <v>1307</v>
      </c>
      <c r="D1416" s="158" t="s">
        <v>302</v>
      </c>
      <c r="E1416" s="52" t="s">
        <v>1272</v>
      </c>
      <c r="F1416" s="51">
        <v>51.1</v>
      </c>
      <c r="G1416" s="51">
        <v>272.25700000000001</v>
      </c>
      <c r="H1416" s="51">
        <v>0</v>
      </c>
      <c r="I1416" s="51">
        <v>0</v>
      </c>
      <c r="J1416" s="51">
        <v>0</v>
      </c>
      <c r="K1416" s="10"/>
    </row>
    <row r="1417" spans="1:11" ht="15" x14ac:dyDescent="0.2">
      <c r="A1417" s="293" t="s">
        <v>1856</v>
      </c>
      <c r="B1417" s="291" t="s">
        <v>1311</v>
      </c>
      <c r="C1417" s="52" t="s">
        <v>1312</v>
      </c>
      <c r="D1417" s="52" t="s">
        <v>1310</v>
      </c>
      <c r="E1417" s="52" t="s">
        <v>770</v>
      </c>
      <c r="F1417" s="64">
        <v>0</v>
      </c>
      <c r="G1417" s="51">
        <v>433</v>
      </c>
      <c r="H1417" s="51">
        <v>0</v>
      </c>
      <c r="I1417" s="51">
        <v>0</v>
      </c>
      <c r="J1417" s="51">
        <v>0</v>
      </c>
      <c r="K1417" s="10"/>
    </row>
    <row r="1418" spans="1:11" ht="60" x14ac:dyDescent="0.2">
      <c r="A1418" s="294"/>
      <c r="B1418" s="292"/>
      <c r="C1418" s="82" t="s">
        <v>1307</v>
      </c>
      <c r="D1418" s="158" t="s">
        <v>302</v>
      </c>
      <c r="E1418" s="52" t="s">
        <v>1272</v>
      </c>
      <c r="F1418" s="51">
        <v>1339.4</v>
      </c>
      <c r="G1418" s="51">
        <v>5363.0410000000002</v>
      </c>
      <c r="H1418" s="51">
        <v>0</v>
      </c>
      <c r="I1418" s="51">
        <v>0</v>
      </c>
      <c r="J1418" s="51">
        <v>0</v>
      </c>
      <c r="K1418" s="10"/>
    </row>
    <row r="1419" spans="1:11" ht="15" x14ac:dyDescent="0.2">
      <c r="A1419" s="293" t="s">
        <v>1857</v>
      </c>
      <c r="B1419" s="291" t="s">
        <v>1313</v>
      </c>
      <c r="C1419" s="52" t="s">
        <v>1314</v>
      </c>
      <c r="D1419" s="159" t="s">
        <v>1315</v>
      </c>
      <c r="E1419" s="52" t="s">
        <v>1316</v>
      </c>
      <c r="F1419" s="51">
        <v>0</v>
      </c>
      <c r="G1419" s="51">
        <v>16</v>
      </c>
      <c r="H1419" s="51">
        <v>0</v>
      </c>
      <c r="I1419" s="51">
        <v>0</v>
      </c>
      <c r="J1419" s="51">
        <v>0</v>
      </c>
      <c r="K1419" s="10"/>
    </row>
    <row r="1420" spans="1:11" ht="60" x14ac:dyDescent="0.2">
      <c r="A1420" s="294"/>
      <c r="B1420" s="292"/>
      <c r="C1420" s="82" t="s">
        <v>1307</v>
      </c>
      <c r="D1420" s="158" t="s">
        <v>302</v>
      </c>
      <c r="E1420" s="52" t="s">
        <v>1272</v>
      </c>
      <c r="F1420" s="51">
        <v>4.8</v>
      </c>
      <c r="G1420" s="51">
        <v>30.753</v>
      </c>
      <c r="H1420" s="51">
        <v>0</v>
      </c>
      <c r="I1420" s="51">
        <v>0</v>
      </c>
      <c r="J1420" s="51">
        <v>0</v>
      </c>
      <c r="K1420" s="10"/>
    </row>
    <row r="1421" spans="1:11" ht="15" x14ac:dyDescent="0.2">
      <c r="A1421" s="293" t="s">
        <v>1858</v>
      </c>
      <c r="B1421" s="291" t="s">
        <v>1317</v>
      </c>
      <c r="C1421" s="52" t="s">
        <v>1318</v>
      </c>
      <c r="D1421" s="159" t="s">
        <v>1319</v>
      </c>
      <c r="E1421" s="52" t="s">
        <v>770</v>
      </c>
      <c r="F1421" s="64">
        <v>0</v>
      </c>
      <c r="G1421" s="51">
        <v>0</v>
      </c>
      <c r="H1421" s="51">
        <v>0</v>
      </c>
      <c r="I1421" s="51">
        <v>0</v>
      </c>
      <c r="J1421" s="51">
        <v>0</v>
      </c>
      <c r="K1421" s="10"/>
    </row>
    <row r="1422" spans="1:11" ht="60" x14ac:dyDescent="0.2">
      <c r="A1422" s="294"/>
      <c r="B1422" s="292"/>
      <c r="C1422" s="82" t="s">
        <v>1307</v>
      </c>
      <c r="D1422" s="158" t="s">
        <v>302</v>
      </c>
      <c r="E1422" s="52" t="s">
        <v>1272</v>
      </c>
      <c r="F1422" s="51">
        <v>34.6</v>
      </c>
      <c r="G1422" s="51">
        <v>55.09</v>
      </c>
      <c r="H1422" s="51">
        <v>0</v>
      </c>
      <c r="I1422" s="51">
        <v>0</v>
      </c>
      <c r="J1422" s="51">
        <v>0</v>
      </c>
      <c r="K1422" s="10"/>
    </row>
    <row r="1423" spans="1:11" ht="15" x14ac:dyDescent="0.2">
      <c r="A1423" s="293" t="s">
        <v>1859</v>
      </c>
      <c r="B1423" s="291" t="s">
        <v>1320</v>
      </c>
      <c r="C1423" s="52" t="s">
        <v>1321</v>
      </c>
      <c r="D1423" s="159" t="s">
        <v>1319</v>
      </c>
      <c r="E1423" s="52" t="s">
        <v>770</v>
      </c>
      <c r="F1423" s="64">
        <v>0</v>
      </c>
      <c r="G1423" s="51">
        <v>0</v>
      </c>
      <c r="H1423" s="51">
        <v>0</v>
      </c>
      <c r="I1423" s="51">
        <v>0</v>
      </c>
      <c r="J1423" s="51">
        <v>0</v>
      </c>
      <c r="K1423" s="10"/>
    </row>
    <row r="1424" spans="1:11" ht="60" x14ac:dyDescent="0.2">
      <c r="A1424" s="294"/>
      <c r="B1424" s="292"/>
      <c r="C1424" s="82" t="s">
        <v>1307</v>
      </c>
      <c r="D1424" s="158" t="s">
        <v>302</v>
      </c>
      <c r="E1424" s="52" t="s">
        <v>1272</v>
      </c>
      <c r="F1424" s="51">
        <v>92.7</v>
      </c>
      <c r="G1424" s="51">
        <v>147.44</v>
      </c>
      <c r="H1424" s="51">
        <v>0</v>
      </c>
      <c r="I1424" s="51">
        <v>0</v>
      </c>
      <c r="J1424" s="51">
        <v>0</v>
      </c>
      <c r="K1424" s="10"/>
    </row>
    <row r="1425" spans="1:11" ht="15" x14ac:dyDescent="0.2">
      <c r="A1425" s="293" t="s">
        <v>1860</v>
      </c>
      <c r="B1425" s="291" t="s">
        <v>1283</v>
      </c>
      <c r="C1425" s="52" t="s">
        <v>1284</v>
      </c>
      <c r="D1425" s="159" t="s">
        <v>1285</v>
      </c>
      <c r="E1425" s="52" t="s">
        <v>757</v>
      </c>
      <c r="F1425" s="51">
        <v>0</v>
      </c>
      <c r="G1425" s="51">
        <v>0</v>
      </c>
      <c r="H1425" s="51">
        <v>0</v>
      </c>
      <c r="I1425" s="51">
        <v>0</v>
      </c>
      <c r="J1425" s="51">
        <v>0</v>
      </c>
      <c r="K1425" s="10"/>
    </row>
    <row r="1426" spans="1:11" ht="60" x14ac:dyDescent="0.2">
      <c r="A1426" s="294"/>
      <c r="B1426" s="292"/>
      <c r="C1426" s="82" t="s">
        <v>1307</v>
      </c>
      <c r="D1426" s="158" t="s">
        <v>302</v>
      </c>
      <c r="E1426" s="52" t="s">
        <v>1272</v>
      </c>
      <c r="F1426" s="51">
        <v>327.8</v>
      </c>
      <c r="G1426" s="51">
        <v>1296.23</v>
      </c>
      <c r="H1426" s="51">
        <v>0</v>
      </c>
      <c r="I1426" s="51">
        <v>0</v>
      </c>
      <c r="J1426" s="51">
        <v>0</v>
      </c>
      <c r="K1426" s="10"/>
    </row>
    <row r="1427" spans="1:11" ht="60" x14ac:dyDescent="0.2">
      <c r="A1427" s="293" t="s">
        <v>1861</v>
      </c>
      <c r="B1427" s="291" t="s">
        <v>1287</v>
      </c>
      <c r="C1427" s="52" t="s">
        <v>1288</v>
      </c>
      <c r="D1427" s="159" t="s">
        <v>1289</v>
      </c>
      <c r="E1427" s="52" t="s">
        <v>757</v>
      </c>
      <c r="F1427" s="51" t="s">
        <v>1322</v>
      </c>
      <c r="G1427" s="51" t="s">
        <v>1323</v>
      </c>
      <c r="H1427" s="51">
        <v>0</v>
      </c>
      <c r="I1427" s="51">
        <v>0</v>
      </c>
      <c r="J1427" s="51">
        <v>0</v>
      </c>
      <c r="K1427" s="10"/>
    </row>
    <row r="1428" spans="1:11" ht="60" x14ac:dyDescent="0.2">
      <c r="A1428" s="294"/>
      <c r="B1428" s="292"/>
      <c r="C1428" s="82" t="s">
        <v>1307</v>
      </c>
      <c r="D1428" s="158" t="s">
        <v>302</v>
      </c>
      <c r="E1428" s="52" t="s">
        <v>1272</v>
      </c>
      <c r="F1428" s="51">
        <v>180.3</v>
      </c>
      <c r="G1428" s="51">
        <v>714.29</v>
      </c>
      <c r="H1428" s="51">
        <v>0</v>
      </c>
      <c r="I1428" s="51">
        <v>0</v>
      </c>
      <c r="J1428" s="51">
        <v>0</v>
      </c>
      <c r="K1428" s="10"/>
    </row>
    <row r="1429" spans="1:11" ht="15" x14ac:dyDescent="0.2">
      <c r="A1429" s="293" t="s">
        <v>1862</v>
      </c>
      <c r="B1429" s="291" t="s">
        <v>1291</v>
      </c>
      <c r="C1429" s="52" t="s">
        <v>1292</v>
      </c>
      <c r="D1429" s="159" t="s">
        <v>1324</v>
      </c>
      <c r="E1429" s="52" t="s">
        <v>757</v>
      </c>
      <c r="F1429" s="51">
        <v>1</v>
      </c>
      <c r="G1429" s="51">
        <v>1</v>
      </c>
      <c r="H1429" s="51">
        <v>0</v>
      </c>
      <c r="I1429" s="51">
        <v>0</v>
      </c>
      <c r="J1429" s="51">
        <v>0</v>
      </c>
      <c r="K1429" s="10"/>
    </row>
    <row r="1430" spans="1:11" ht="60" x14ac:dyDescent="0.2">
      <c r="A1430" s="294"/>
      <c r="B1430" s="292"/>
      <c r="C1430" s="82" t="s">
        <v>1307</v>
      </c>
      <c r="D1430" s="158" t="s">
        <v>302</v>
      </c>
      <c r="E1430" s="52" t="s">
        <v>1272</v>
      </c>
      <c r="F1430" s="51">
        <v>278.60000000000002</v>
      </c>
      <c r="G1430" s="51">
        <v>1125.07</v>
      </c>
      <c r="H1430" s="51">
        <v>0</v>
      </c>
      <c r="I1430" s="51">
        <v>0</v>
      </c>
      <c r="J1430" s="51">
        <v>0</v>
      </c>
      <c r="K1430" s="10"/>
    </row>
    <row r="1431" spans="1:11" ht="90" x14ac:dyDescent="0.2">
      <c r="A1431" s="293" t="s">
        <v>1863</v>
      </c>
      <c r="B1431" s="291" t="s">
        <v>1294</v>
      </c>
      <c r="C1431" s="52" t="s">
        <v>1295</v>
      </c>
      <c r="D1431" s="159" t="s">
        <v>1325</v>
      </c>
      <c r="E1431" s="52" t="s">
        <v>757</v>
      </c>
      <c r="F1431" s="51" t="s">
        <v>1326</v>
      </c>
      <c r="G1431" s="51">
        <v>3</v>
      </c>
      <c r="H1431" s="51">
        <v>0</v>
      </c>
      <c r="I1431" s="51">
        <v>0</v>
      </c>
      <c r="J1431" s="51">
        <v>0</v>
      </c>
      <c r="K1431" s="10"/>
    </row>
    <row r="1432" spans="1:11" ht="60" x14ac:dyDescent="0.2">
      <c r="A1432" s="294"/>
      <c r="B1432" s="292"/>
      <c r="C1432" s="82" t="s">
        <v>1307</v>
      </c>
      <c r="D1432" s="158" t="s">
        <v>302</v>
      </c>
      <c r="E1432" s="52" t="s">
        <v>1272</v>
      </c>
      <c r="F1432" s="51">
        <v>852.2</v>
      </c>
      <c r="G1432" s="51">
        <v>3123.6680000000001</v>
      </c>
      <c r="H1432" s="51">
        <v>0</v>
      </c>
      <c r="I1432" s="51">
        <v>0</v>
      </c>
      <c r="J1432" s="51">
        <v>0</v>
      </c>
      <c r="K1432" s="10"/>
    </row>
    <row r="1433" spans="1:11" ht="15" x14ac:dyDescent="0.2">
      <c r="A1433" s="293" t="s">
        <v>1864</v>
      </c>
      <c r="B1433" s="291" t="s">
        <v>1298</v>
      </c>
      <c r="C1433" s="52" t="s">
        <v>1299</v>
      </c>
      <c r="D1433" s="159" t="s">
        <v>1300</v>
      </c>
      <c r="E1433" s="52" t="s">
        <v>1306</v>
      </c>
      <c r="F1433" s="51">
        <v>0</v>
      </c>
      <c r="G1433" s="51">
        <v>49</v>
      </c>
      <c r="H1433" s="51">
        <v>0</v>
      </c>
      <c r="I1433" s="51">
        <v>0</v>
      </c>
      <c r="J1433" s="51">
        <v>0</v>
      </c>
      <c r="K1433" s="10"/>
    </row>
    <row r="1434" spans="1:11" ht="60" x14ac:dyDescent="0.2">
      <c r="A1434" s="294"/>
      <c r="B1434" s="292"/>
      <c r="C1434" s="82" t="s">
        <v>1307</v>
      </c>
      <c r="D1434" s="158" t="s">
        <v>302</v>
      </c>
      <c r="E1434" s="52" t="s">
        <v>1272</v>
      </c>
      <c r="F1434" s="51">
        <v>0</v>
      </c>
      <c r="G1434" s="51">
        <v>1867.7170000000001</v>
      </c>
      <c r="H1434" s="51">
        <v>0</v>
      </c>
      <c r="I1434" s="51">
        <v>0</v>
      </c>
      <c r="J1434" s="51">
        <v>0</v>
      </c>
      <c r="K1434" s="10"/>
    </row>
    <row r="1435" spans="1:11" s="130" customFormat="1" ht="40.5" customHeight="1" x14ac:dyDescent="0.25">
      <c r="A1435" s="228" t="s">
        <v>2150</v>
      </c>
      <c r="B1435" s="229"/>
      <c r="C1435" s="229"/>
      <c r="D1435" s="230"/>
      <c r="E1435" s="121" t="s">
        <v>1272</v>
      </c>
      <c r="F1435" s="94">
        <f>F1414+F1416+F1418+F1420+F1422+F1424+F1426+F1428+F1430+F1432+F1434</f>
        <v>5501.6</v>
      </c>
      <c r="G1435" s="94">
        <f>G1414+G1416+G1418+G1420+G1422+G1424+G1426+G1428+G1430+G1432+G1434</f>
        <v>25752.649000000001</v>
      </c>
      <c r="H1435" s="94">
        <f t="shared" ref="H1435:J1435" si="33">SUM(H1414:H1434)</f>
        <v>0</v>
      </c>
      <c r="I1435" s="94">
        <f t="shared" si="33"/>
        <v>0</v>
      </c>
      <c r="J1435" s="94">
        <f t="shared" si="33"/>
        <v>0</v>
      </c>
      <c r="K1435" s="129"/>
    </row>
    <row r="1436" spans="1:11" s="92" customFormat="1" ht="42.75" customHeight="1" x14ac:dyDescent="0.25">
      <c r="A1436" s="170" t="s">
        <v>1401</v>
      </c>
      <c r="B1436" s="272" t="s">
        <v>1327</v>
      </c>
      <c r="C1436" s="273"/>
      <c r="D1436" s="273"/>
      <c r="E1436" s="273"/>
      <c r="F1436" s="273"/>
      <c r="G1436" s="273"/>
      <c r="H1436" s="273"/>
      <c r="I1436" s="273"/>
      <c r="J1436" s="274"/>
      <c r="K1436" s="91"/>
    </row>
    <row r="1437" spans="1:11" ht="15" x14ac:dyDescent="0.2">
      <c r="A1437" s="293" t="s">
        <v>1865</v>
      </c>
      <c r="B1437" s="291" t="s">
        <v>1303</v>
      </c>
      <c r="C1437" s="52" t="s">
        <v>1304</v>
      </c>
      <c r="D1437" s="52" t="s">
        <v>1305</v>
      </c>
      <c r="E1437" s="53" t="s">
        <v>1306</v>
      </c>
      <c r="F1437" s="64">
        <v>0</v>
      </c>
      <c r="G1437" s="64">
        <v>580.5</v>
      </c>
      <c r="H1437" s="64">
        <v>1625</v>
      </c>
      <c r="I1437" s="64">
        <v>1625</v>
      </c>
      <c r="J1437" s="64">
        <v>1625</v>
      </c>
      <c r="K1437" s="10"/>
    </row>
    <row r="1438" spans="1:11" ht="60" x14ac:dyDescent="0.2">
      <c r="A1438" s="294"/>
      <c r="B1438" s="292"/>
      <c r="C1438" s="82" t="s">
        <v>1328</v>
      </c>
      <c r="D1438" s="52" t="s">
        <v>302</v>
      </c>
      <c r="E1438" s="52" t="s">
        <v>1272</v>
      </c>
      <c r="F1438" s="51">
        <v>0</v>
      </c>
      <c r="G1438" s="51">
        <v>3130.152</v>
      </c>
      <c r="H1438" s="51">
        <v>12209.23726</v>
      </c>
      <c r="I1438" s="51">
        <v>12393.965469999999</v>
      </c>
      <c r="J1438" s="51">
        <v>12393.965469999999</v>
      </c>
      <c r="K1438" s="10"/>
    </row>
    <row r="1439" spans="1:11" ht="15" x14ac:dyDescent="0.2">
      <c r="A1439" s="293" t="s">
        <v>1866</v>
      </c>
      <c r="B1439" s="291" t="s">
        <v>1308</v>
      </c>
      <c r="C1439" s="52" t="s">
        <v>1309</v>
      </c>
      <c r="D1439" s="52" t="s">
        <v>1310</v>
      </c>
      <c r="E1439" s="52" t="s">
        <v>770</v>
      </c>
      <c r="F1439" s="51">
        <v>0</v>
      </c>
      <c r="G1439" s="51">
        <v>160</v>
      </c>
      <c r="H1439" s="51">
        <v>250</v>
      </c>
      <c r="I1439" s="51">
        <v>250</v>
      </c>
      <c r="J1439" s="51">
        <v>250</v>
      </c>
      <c r="K1439" s="10"/>
    </row>
    <row r="1440" spans="1:11" ht="60" x14ac:dyDescent="0.2">
      <c r="A1440" s="294"/>
      <c r="B1440" s="292"/>
      <c r="C1440" s="82" t="s">
        <v>1328</v>
      </c>
      <c r="D1440" s="52" t="s">
        <v>302</v>
      </c>
      <c r="E1440" s="52" t="s">
        <v>1272</v>
      </c>
      <c r="F1440" s="51">
        <v>0</v>
      </c>
      <c r="G1440" s="51">
        <v>52.902000000000001</v>
      </c>
      <c r="H1440" s="51">
        <v>778.36387999999999</v>
      </c>
      <c r="I1440" s="51">
        <v>793.51607999999999</v>
      </c>
      <c r="J1440" s="51">
        <v>793.51607999999999</v>
      </c>
      <c r="K1440" s="10"/>
    </row>
    <row r="1441" spans="1:11" ht="15" x14ac:dyDescent="0.2">
      <c r="A1441" s="293" t="s">
        <v>1867</v>
      </c>
      <c r="B1441" s="291" t="s">
        <v>1311</v>
      </c>
      <c r="C1441" s="52" t="s">
        <v>1312</v>
      </c>
      <c r="D1441" s="52" t="s">
        <v>1310</v>
      </c>
      <c r="E1441" s="52" t="s">
        <v>770</v>
      </c>
      <c r="F1441" s="51">
        <v>0</v>
      </c>
      <c r="G1441" s="51">
        <v>120</v>
      </c>
      <c r="H1441" s="51">
        <v>554</v>
      </c>
      <c r="I1441" s="51">
        <v>554</v>
      </c>
      <c r="J1441" s="51">
        <v>554</v>
      </c>
      <c r="K1441" s="10"/>
    </row>
    <row r="1442" spans="1:11" ht="60" x14ac:dyDescent="0.2">
      <c r="A1442" s="294"/>
      <c r="B1442" s="292"/>
      <c r="C1442" s="82" t="s">
        <v>1328</v>
      </c>
      <c r="D1442" s="52" t="s">
        <v>302</v>
      </c>
      <c r="E1442" s="52" t="s">
        <v>1272</v>
      </c>
      <c r="F1442" s="51">
        <v>0</v>
      </c>
      <c r="G1442" s="51">
        <v>3157.48</v>
      </c>
      <c r="H1442" s="51">
        <v>4160.4204200000004</v>
      </c>
      <c r="I1442" s="51">
        <v>4232.0857699999997</v>
      </c>
      <c r="J1442" s="51">
        <v>4232.0857699999997</v>
      </c>
      <c r="K1442" s="10"/>
    </row>
    <row r="1443" spans="1:11" ht="15" x14ac:dyDescent="0.2">
      <c r="A1443" s="293" t="s">
        <v>1868</v>
      </c>
      <c r="B1443" s="291" t="s">
        <v>1313</v>
      </c>
      <c r="C1443" s="52" t="s">
        <v>1314</v>
      </c>
      <c r="D1443" s="52" t="s">
        <v>1315</v>
      </c>
      <c r="E1443" s="52" t="s">
        <v>1316</v>
      </c>
      <c r="F1443" s="51">
        <v>0</v>
      </c>
      <c r="G1443" s="51">
        <v>0</v>
      </c>
      <c r="H1443" s="51">
        <v>15</v>
      </c>
      <c r="I1443" s="51">
        <v>15</v>
      </c>
      <c r="J1443" s="51">
        <v>15</v>
      </c>
      <c r="K1443" s="10"/>
    </row>
    <row r="1444" spans="1:11" ht="60" x14ac:dyDescent="0.2">
      <c r="A1444" s="294"/>
      <c r="B1444" s="292"/>
      <c r="C1444" s="82" t="s">
        <v>1328</v>
      </c>
      <c r="D1444" s="52" t="s">
        <v>302</v>
      </c>
      <c r="E1444" s="52" t="s">
        <v>1272</v>
      </c>
      <c r="F1444" s="51">
        <v>0</v>
      </c>
      <c r="G1444" s="51">
        <v>0</v>
      </c>
      <c r="H1444" s="51">
        <v>491.43698999999998</v>
      </c>
      <c r="I1444" s="51">
        <v>498.78154000000001</v>
      </c>
      <c r="J1444" s="51">
        <v>498.78154000000001</v>
      </c>
      <c r="K1444" s="10"/>
    </row>
    <row r="1445" spans="1:11" ht="15" x14ac:dyDescent="0.2">
      <c r="A1445" s="293" t="s">
        <v>1869</v>
      </c>
      <c r="B1445" s="291" t="s">
        <v>1317</v>
      </c>
      <c r="C1445" s="52" t="s">
        <v>1318</v>
      </c>
      <c r="D1445" s="52" t="s">
        <v>1319</v>
      </c>
      <c r="E1445" s="52" t="s">
        <v>770</v>
      </c>
      <c r="F1445" s="51">
        <v>0</v>
      </c>
      <c r="G1445" s="51">
        <v>22</v>
      </c>
      <c r="H1445" s="51">
        <v>22</v>
      </c>
      <c r="I1445" s="51">
        <v>22</v>
      </c>
      <c r="J1445" s="51">
        <v>22</v>
      </c>
      <c r="K1445" s="10"/>
    </row>
    <row r="1446" spans="1:11" ht="60" x14ac:dyDescent="0.2">
      <c r="A1446" s="294"/>
      <c r="B1446" s="292"/>
      <c r="C1446" s="82" t="s">
        <v>1328</v>
      </c>
      <c r="D1446" s="52" t="s">
        <v>302</v>
      </c>
      <c r="E1446" s="52" t="s">
        <v>1272</v>
      </c>
      <c r="F1446" s="51">
        <v>0</v>
      </c>
      <c r="G1446" s="51">
        <v>165.27</v>
      </c>
      <c r="H1446" s="51">
        <v>741.44879000000003</v>
      </c>
      <c r="I1446" s="51">
        <v>755.7296</v>
      </c>
      <c r="J1446" s="51">
        <v>755.7296</v>
      </c>
      <c r="K1446" s="10"/>
    </row>
    <row r="1447" spans="1:11" ht="15" x14ac:dyDescent="0.2">
      <c r="A1447" s="293" t="s">
        <v>1870</v>
      </c>
      <c r="B1447" s="291" t="s">
        <v>1320</v>
      </c>
      <c r="C1447" s="52" t="s">
        <v>1321</v>
      </c>
      <c r="D1447" s="52" t="s">
        <v>1319</v>
      </c>
      <c r="E1447" s="52" t="s">
        <v>770</v>
      </c>
      <c r="F1447" s="51">
        <v>0</v>
      </c>
      <c r="G1447" s="51">
        <v>20</v>
      </c>
      <c r="H1447" s="51">
        <v>20</v>
      </c>
      <c r="I1447" s="51">
        <v>20</v>
      </c>
      <c r="J1447" s="51">
        <v>20</v>
      </c>
      <c r="K1447" s="10"/>
    </row>
    <row r="1448" spans="1:11" ht="60" x14ac:dyDescent="0.2">
      <c r="A1448" s="294"/>
      <c r="B1448" s="292"/>
      <c r="C1448" s="82" t="s">
        <v>1328</v>
      </c>
      <c r="D1448" s="52" t="s">
        <v>302</v>
      </c>
      <c r="E1448" s="52" t="s">
        <v>1272</v>
      </c>
      <c r="F1448" s="51">
        <v>0</v>
      </c>
      <c r="G1448" s="51">
        <v>442.32100000000003</v>
      </c>
      <c r="H1448" s="51">
        <v>1362.8377599999999</v>
      </c>
      <c r="I1448" s="51">
        <v>1398.0997600000001</v>
      </c>
      <c r="J1448" s="51">
        <v>1398.0997600000001</v>
      </c>
      <c r="K1448" s="10"/>
    </row>
    <row r="1449" spans="1:11" ht="15" x14ac:dyDescent="0.2">
      <c r="A1449" s="293" t="s">
        <v>1871</v>
      </c>
      <c r="B1449" s="291" t="s">
        <v>1283</v>
      </c>
      <c r="C1449" s="52" t="s">
        <v>1284</v>
      </c>
      <c r="D1449" s="52" t="s">
        <v>1285</v>
      </c>
      <c r="E1449" s="52" t="s">
        <v>757</v>
      </c>
      <c r="F1449" s="51">
        <v>0</v>
      </c>
      <c r="G1449" s="51">
        <v>1</v>
      </c>
      <c r="H1449" s="51">
        <v>1</v>
      </c>
      <c r="I1449" s="51">
        <v>1</v>
      </c>
      <c r="J1449" s="51">
        <v>1</v>
      </c>
      <c r="K1449" s="10"/>
    </row>
    <row r="1450" spans="1:11" ht="60" x14ac:dyDescent="0.2">
      <c r="A1450" s="294"/>
      <c r="B1450" s="292"/>
      <c r="C1450" s="82" t="s">
        <v>1328</v>
      </c>
      <c r="D1450" s="52" t="s">
        <v>302</v>
      </c>
      <c r="E1450" s="52" t="s">
        <v>1272</v>
      </c>
      <c r="F1450" s="51">
        <v>0</v>
      </c>
      <c r="G1450" s="51">
        <v>778.37</v>
      </c>
      <c r="H1450" s="51">
        <v>1807.03107</v>
      </c>
      <c r="I1450" s="51">
        <v>1851.5375200000001</v>
      </c>
      <c r="J1450" s="51">
        <v>1851.5375200000001</v>
      </c>
      <c r="K1450" s="10"/>
    </row>
    <row r="1451" spans="1:11" ht="60" x14ac:dyDescent="0.2">
      <c r="A1451" s="293" t="s">
        <v>1872</v>
      </c>
      <c r="B1451" s="291" t="s">
        <v>1287</v>
      </c>
      <c r="C1451" s="52" t="s">
        <v>1288</v>
      </c>
      <c r="D1451" s="52" t="s">
        <v>1289</v>
      </c>
      <c r="E1451" s="52" t="s">
        <v>757</v>
      </c>
      <c r="F1451" s="51">
        <v>0</v>
      </c>
      <c r="G1451" s="51" t="s">
        <v>1329</v>
      </c>
      <c r="H1451" s="51" t="s">
        <v>1330</v>
      </c>
      <c r="I1451" s="51" t="s">
        <v>1330</v>
      </c>
      <c r="J1451" s="51" t="s">
        <v>1330</v>
      </c>
      <c r="K1451" s="10"/>
    </row>
    <row r="1452" spans="1:11" ht="60" x14ac:dyDescent="0.2">
      <c r="A1452" s="294"/>
      <c r="B1452" s="292"/>
      <c r="C1452" s="82" t="s">
        <v>1328</v>
      </c>
      <c r="D1452" s="52" t="s">
        <v>302</v>
      </c>
      <c r="E1452" s="52" t="s">
        <v>1272</v>
      </c>
      <c r="F1452" s="51">
        <v>0</v>
      </c>
      <c r="G1452" s="51">
        <v>426.71</v>
      </c>
      <c r="H1452" s="51">
        <v>1965.3548599999999</v>
      </c>
      <c r="I1452" s="51">
        <v>2002.68344</v>
      </c>
      <c r="J1452" s="51">
        <v>2002.68344</v>
      </c>
      <c r="K1452" s="10"/>
    </row>
    <row r="1453" spans="1:11" ht="15" x14ac:dyDescent="0.2">
      <c r="A1453" s="293" t="s">
        <v>1873</v>
      </c>
      <c r="B1453" s="291" t="s">
        <v>1291</v>
      </c>
      <c r="C1453" s="52" t="s">
        <v>1292</v>
      </c>
      <c r="D1453" s="52" t="s">
        <v>1293</v>
      </c>
      <c r="E1453" s="52" t="s">
        <v>757</v>
      </c>
      <c r="F1453" s="51">
        <v>0</v>
      </c>
      <c r="G1453" s="51">
        <v>2</v>
      </c>
      <c r="H1453" s="51">
        <v>1</v>
      </c>
      <c r="I1453" s="51">
        <v>1</v>
      </c>
      <c r="J1453" s="51">
        <v>1</v>
      </c>
      <c r="K1453" s="10"/>
    </row>
    <row r="1454" spans="1:11" ht="60" x14ac:dyDescent="0.2">
      <c r="A1454" s="294"/>
      <c r="B1454" s="292"/>
      <c r="C1454" s="82" t="s">
        <v>1328</v>
      </c>
      <c r="D1454" s="52" t="s">
        <v>302</v>
      </c>
      <c r="E1454" s="52" t="s">
        <v>1272</v>
      </c>
      <c r="F1454" s="51">
        <v>0</v>
      </c>
      <c r="G1454" s="51">
        <v>638.33000000000004</v>
      </c>
      <c r="H1454" s="51">
        <v>2043.20081</v>
      </c>
      <c r="I1454" s="51">
        <v>2040.46992</v>
      </c>
      <c r="J1454" s="51">
        <v>2040.46992</v>
      </c>
      <c r="K1454" s="10"/>
    </row>
    <row r="1455" spans="1:11" ht="105" customHeight="1" x14ac:dyDescent="0.2">
      <c r="A1455" s="293" t="s">
        <v>1874</v>
      </c>
      <c r="B1455" s="291" t="s">
        <v>1294</v>
      </c>
      <c r="C1455" s="52" t="s">
        <v>1295</v>
      </c>
      <c r="D1455" s="52" t="s">
        <v>1331</v>
      </c>
      <c r="E1455" s="52" t="s">
        <v>757</v>
      </c>
      <c r="F1455" s="51">
        <v>0</v>
      </c>
      <c r="G1455" s="51" t="s">
        <v>1332</v>
      </c>
      <c r="H1455" s="51" t="s">
        <v>1333</v>
      </c>
      <c r="I1455" s="51" t="s">
        <v>1334</v>
      </c>
      <c r="J1455" s="51" t="s">
        <v>1333</v>
      </c>
      <c r="K1455" s="10"/>
    </row>
    <row r="1456" spans="1:11" ht="60" x14ac:dyDescent="0.2">
      <c r="A1456" s="294"/>
      <c r="B1456" s="292"/>
      <c r="C1456" s="82" t="s">
        <v>1328</v>
      </c>
      <c r="D1456" s="52" t="s">
        <v>302</v>
      </c>
      <c r="E1456" s="52" t="s">
        <v>1272</v>
      </c>
      <c r="F1456" s="51">
        <v>0</v>
      </c>
      <c r="G1456" s="51">
        <v>2270.232</v>
      </c>
      <c r="H1456" s="51">
        <v>5974.6362600000002</v>
      </c>
      <c r="I1456" s="51">
        <v>6045.8368099999998</v>
      </c>
      <c r="J1456" s="51">
        <v>6045.8368099999998</v>
      </c>
      <c r="K1456" s="10"/>
    </row>
    <row r="1457" spans="1:11" ht="15" x14ac:dyDescent="0.2">
      <c r="A1457" s="293" t="s">
        <v>1875</v>
      </c>
      <c r="B1457" s="291" t="s">
        <v>1298</v>
      </c>
      <c r="C1457" s="52" t="s">
        <v>1299</v>
      </c>
      <c r="D1457" s="52" t="s">
        <v>1300</v>
      </c>
      <c r="E1457" s="52" t="s">
        <v>1306</v>
      </c>
      <c r="F1457" s="51">
        <v>0</v>
      </c>
      <c r="G1457" s="51">
        <v>16</v>
      </c>
      <c r="H1457" s="51">
        <v>65</v>
      </c>
      <c r="I1457" s="51">
        <v>65</v>
      </c>
      <c r="J1457" s="51">
        <v>65</v>
      </c>
      <c r="K1457" s="10"/>
    </row>
    <row r="1458" spans="1:11" ht="60" x14ac:dyDescent="0.2">
      <c r="A1458" s="294"/>
      <c r="B1458" s="292"/>
      <c r="C1458" s="82" t="s">
        <v>1328</v>
      </c>
      <c r="D1458" s="52" t="s">
        <v>302</v>
      </c>
      <c r="E1458" s="52" t="s">
        <v>1272</v>
      </c>
      <c r="F1458" s="51">
        <v>0</v>
      </c>
      <c r="G1458" s="51">
        <v>1140.759</v>
      </c>
      <c r="H1458" s="51">
        <v>5682.0119800000002</v>
      </c>
      <c r="I1458" s="51">
        <v>5773.7741599999999</v>
      </c>
      <c r="J1458" s="51">
        <v>5773.7741599999999</v>
      </c>
      <c r="K1458" s="10"/>
    </row>
    <row r="1459" spans="1:11" s="102" customFormat="1" ht="28.5" customHeight="1" x14ac:dyDescent="0.25">
      <c r="A1459" s="228" t="s">
        <v>2149</v>
      </c>
      <c r="B1459" s="229"/>
      <c r="C1459" s="229"/>
      <c r="D1459" s="230"/>
      <c r="E1459" s="121" t="s">
        <v>1272</v>
      </c>
      <c r="F1459" s="94">
        <f>SUM(F1438:F1458)</f>
        <v>0</v>
      </c>
      <c r="G1459" s="94">
        <f>G1438+G1440+G1442+G1444+G1446+G1448+G1450+G1452+G1454+G1456+G1458</f>
        <v>12202.526</v>
      </c>
      <c r="H1459" s="94">
        <f t="shared" ref="H1459:J1459" si="34">H1438+H1440+H1442+H1444+H1446+H1448+H1450+H1452+H1454+H1456+H1458</f>
        <v>37215.980079999994</v>
      </c>
      <c r="I1459" s="94">
        <f t="shared" si="34"/>
        <v>37786.480069999998</v>
      </c>
      <c r="J1459" s="94">
        <f t="shared" si="34"/>
        <v>37786.480069999998</v>
      </c>
      <c r="K1459" s="101"/>
    </row>
    <row r="1460" spans="1:11" s="193" customFormat="1" ht="28.5" customHeight="1" x14ac:dyDescent="0.25">
      <c r="A1460" s="191">
        <v>22</v>
      </c>
      <c r="B1460" s="206" t="s">
        <v>2156</v>
      </c>
      <c r="C1460" s="206"/>
      <c r="D1460" s="206"/>
      <c r="E1460" s="206"/>
      <c r="F1460" s="206"/>
      <c r="G1460" s="206"/>
      <c r="H1460" s="206"/>
      <c r="I1460" s="206"/>
      <c r="J1460" s="206"/>
      <c r="K1460" s="192"/>
    </row>
    <row r="1461" spans="1:11" s="185" customFormat="1" ht="69" customHeight="1" x14ac:dyDescent="0.25">
      <c r="A1461" s="200" t="s">
        <v>2157</v>
      </c>
      <c r="B1461" s="202" t="s">
        <v>481</v>
      </c>
      <c r="C1461" s="187" t="s">
        <v>2166</v>
      </c>
      <c r="D1461" s="183" t="s">
        <v>1263</v>
      </c>
      <c r="E1461" s="183" t="s">
        <v>2162</v>
      </c>
      <c r="F1461" s="186">
        <v>122668</v>
      </c>
      <c r="G1461" s="186">
        <v>118504</v>
      </c>
      <c r="H1461" s="186">
        <v>118504</v>
      </c>
      <c r="I1461" s="186">
        <v>118504</v>
      </c>
      <c r="J1461" s="186">
        <v>118504</v>
      </c>
      <c r="K1461" s="184"/>
    </row>
    <row r="1462" spans="1:11" s="185" customFormat="1" ht="61.5" customHeight="1" x14ac:dyDescent="0.25">
      <c r="A1462" s="201"/>
      <c r="B1462" s="203"/>
      <c r="C1462" s="187" t="s">
        <v>2164</v>
      </c>
      <c r="D1462" s="52" t="s">
        <v>302</v>
      </c>
      <c r="E1462" s="183" t="s">
        <v>2163</v>
      </c>
      <c r="F1462" s="186">
        <v>15061.81</v>
      </c>
      <c r="G1462" s="186">
        <v>14780.13</v>
      </c>
      <c r="H1462" s="186">
        <v>15887.36</v>
      </c>
      <c r="I1462" s="186">
        <v>15887.36</v>
      </c>
      <c r="J1462" s="186">
        <v>15887.36</v>
      </c>
      <c r="K1462" s="184"/>
    </row>
    <row r="1463" spans="1:11" s="185" customFormat="1" ht="66" customHeight="1" x14ac:dyDescent="0.25">
      <c r="A1463" s="200" t="s">
        <v>2158</v>
      </c>
      <c r="B1463" s="202" t="s">
        <v>2160</v>
      </c>
      <c r="C1463" s="187" t="s">
        <v>2165</v>
      </c>
      <c r="D1463" s="183" t="s">
        <v>1263</v>
      </c>
      <c r="E1463" s="183" t="s">
        <v>2162</v>
      </c>
      <c r="F1463" s="186">
        <v>9750</v>
      </c>
      <c r="G1463" s="186"/>
      <c r="H1463" s="186"/>
      <c r="I1463" s="186"/>
      <c r="J1463" s="186"/>
      <c r="K1463" s="184"/>
    </row>
    <row r="1464" spans="1:11" s="185" customFormat="1" ht="28.5" customHeight="1" x14ac:dyDescent="0.25">
      <c r="A1464" s="201"/>
      <c r="B1464" s="203"/>
      <c r="C1464" s="187" t="s">
        <v>2164</v>
      </c>
      <c r="D1464" s="52" t="s">
        <v>302</v>
      </c>
      <c r="E1464" s="183" t="s">
        <v>2163</v>
      </c>
      <c r="F1464" s="186">
        <v>1197.1600000000001</v>
      </c>
      <c r="G1464" s="186"/>
      <c r="H1464" s="186"/>
      <c r="I1464" s="186"/>
      <c r="J1464" s="186"/>
      <c r="K1464" s="184"/>
    </row>
    <row r="1465" spans="1:11" s="185" customFormat="1" ht="68.25" customHeight="1" x14ac:dyDescent="0.25">
      <c r="A1465" s="200" t="s">
        <v>2159</v>
      </c>
      <c r="B1465" s="202" t="s">
        <v>2161</v>
      </c>
      <c r="C1465" s="187" t="s">
        <v>2167</v>
      </c>
      <c r="D1465" s="183" t="s">
        <v>1263</v>
      </c>
      <c r="E1465" s="183" t="s">
        <v>2162</v>
      </c>
      <c r="F1465" s="186">
        <v>28494</v>
      </c>
      <c r="G1465" s="186">
        <v>35502</v>
      </c>
      <c r="H1465" s="186">
        <v>35502</v>
      </c>
      <c r="I1465" s="186">
        <v>35502</v>
      </c>
      <c r="J1465" s="186">
        <v>35502</v>
      </c>
      <c r="K1465" s="184"/>
    </row>
    <row r="1466" spans="1:11" s="185" customFormat="1" ht="63" customHeight="1" x14ac:dyDescent="0.25">
      <c r="A1466" s="201"/>
      <c r="B1466" s="203"/>
      <c r="C1466" s="187" t="s">
        <v>2164</v>
      </c>
      <c r="D1466" s="52" t="s">
        <v>302</v>
      </c>
      <c r="E1466" s="183" t="s">
        <v>2163</v>
      </c>
      <c r="F1466" s="186">
        <v>3498.64</v>
      </c>
      <c r="G1466" s="186">
        <v>4178</v>
      </c>
      <c r="H1466" s="186">
        <v>4491.47</v>
      </c>
      <c r="I1466" s="186">
        <v>4491.47</v>
      </c>
      <c r="J1466" s="186">
        <v>4491.47</v>
      </c>
      <c r="K1466" s="184"/>
    </row>
    <row r="1467" spans="1:11" s="190" customFormat="1" ht="28.5" customHeight="1" x14ac:dyDescent="0.25">
      <c r="A1467" s="207" t="s">
        <v>2169</v>
      </c>
      <c r="B1467" s="208"/>
      <c r="C1467" s="208"/>
      <c r="D1467" s="209"/>
      <c r="E1467" s="188" t="s">
        <v>2163</v>
      </c>
      <c r="F1467" s="189">
        <f>F1462+F1464+F1466</f>
        <v>19757.61</v>
      </c>
      <c r="G1467" s="189">
        <f t="shared" ref="G1467:K1467" si="35">G1462+G1464+G1466</f>
        <v>18958.129999999997</v>
      </c>
      <c r="H1467" s="189">
        <f t="shared" si="35"/>
        <v>20378.830000000002</v>
      </c>
      <c r="I1467" s="189">
        <f t="shared" si="35"/>
        <v>20378.830000000002</v>
      </c>
      <c r="J1467" s="189">
        <f t="shared" si="35"/>
        <v>20378.830000000002</v>
      </c>
      <c r="K1467" s="189">
        <f t="shared" si="35"/>
        <v>0</v>
      </c>
    </row>
    <row r="1468" spans="1:11" s="195" customFormat="1" ht="28.5" customHeight="1" x14ac:dyDescent="0.25">
      <c r="A1468" s="179" t="s">
        <v>2168</v>
      </c>
      <c r="B1468" s="204" t="s">
        <v>2181</v>
      </c>
      <c r="C1468" s="204"/>
      <c r="D1468" s="204"/>
      <c r="E1468" s="204"/>
      <c r="F1468" s="204"/>
      <c r="G1468" s="204"/>
      <c r="H1468" s="204"/>
      <c r="I1468" s="204"/>
      <c r="J1468" s="205"/>
      <c r="K1468" s="194"/>
    </row>
    <row r="1469" spans="1:11" s="185" customFormat="1" ht="68.25" customHeight="1" x14ac:dyDescent="0.25">
      <c r="A1469" s="200" t="s">
        <v>2182</v>
      </c>
      <c r="B1469" s="202" t="s">
        <v>2170</v>
      </c>
      <c r="C1469" s="187" t="s">
        <v>2171</v>
      </c>
      <c r="D1469" s="183" t="s">
        <v>569</v>
      </c>
      <c r="E1469" s="183" t="s">
        <v>757</v>
      </c>
      <c r="F1469" s="186">
        <v>30</v>
      </c>
      <c r="G1469" s="186">
        <v>0</v>
      </c>
      <c r="H1469" s="186">
        <v>0</v>
      </c>
      <c r="I1469" s="186">
        <v>0</v>
      </c>
      <c r="J1469" s="186">
        <v>0</v>
      </c>
      <c r="K1469" s="184"/>
    </row>
    <row r="1470" spans="1:11" s="185" customFormat="1" ht="63" customHeight="1" x14ac:dyDescent="0.25">
      <c r="A1470" s="201"/>
      <c r="B1470" s="203"/>
      <c r="C1470" s="187" t="s">
        <v>2191</v>
      </c>
      <c r="D1470" s="52" t="s">
        <v>302</v>
      </c>
      <c r="E1470" s="183" t="s">
        <v>303</v>
      </c>
      <c r="F1470" s="186">
        <v>1363.32</v>
      </c>
      <c r="G1470" s="186">
        <v>0</v>
      </c>
      <c r="H1470" s="186">
        <v>0</v>
      </c>
      <c r="I1470" s="186">
        <v>0</v>
      </c>
      <c r="J1470" s="186">
        <v>0</v>
      </c>
      <c r="K1470" s="184"/>
    </row>
    <row r="1471" spans="1:11" s="185" customFormat="1" ht="68.25" customHeight="1" x14ac:dyDescent="0.25">
      <c r="A1471" s="200" t="s">
        <v>2183</v>
      </c>
      <c r="B1471" s="202" t="s">
        <v>570</v>
      </c>
      <c r="C1471" s="187" t="s">
        <v>2172</v>
      </c>
      <c r="D1471" s="183" t="s">
        <v>394</v>
      </c>
      <c r="E1471" s="183" t="s">
        <v>770</v>
      </c>
      <c r="F1471" s="186">
        <v>90</v>
      </c>
      <c r="G1471" s="186">
        <v>0</v>
      </c>
      <c r="H1471" s="186">
        <v>0</v>
      </c>
      <c r="I1471" s="186">
        <v>0</v>
      </c>
      <c r="J1471" s="186">
        <v>0</v>
      </c>
      <c r="K1471" s="184"/>
    </row>
    <row r="1472" spans="1:11" s="185" customFormat="1" ht="63" customHeight="1" x14ac:dyDescent="0.25">
      <c r="A1472" s="201"/>
      <c r="B1472" s="203"/>
      <c r="C1472" s="187" t="s">
        <v>2191</v>
      </c>
      <c r="D1472" s="52" t="s">
        <v>302</v>
      </c>
      <c r="E1472" s="183" t="s">
        <v>303</v>
      </c>
      <c r="F1472" s="186">
        <v>4089.95</v>
      </c>
      <c r="G1472" s="186">
        <v>0</v>
      </c>
      <c r="H1472" s="186">
        <v>0</v>
      </c>
      <c r="I1472" s="186">
        <v>0</v>
      </c>
      <c r="J1472" s="186">
        <v>0</v>
      </c>
      <c r="K1472" s="184"/>
    </row>
    <row r="1473" spans="1:11" s="185" customFormat="1" ht="68.25" customHeight="1" x14ac:dyDescent="0.25">
      <c r="A1473" s="200" t="s">
        <v>2184</v>
      </c>
      <c r="B1473" s="202" t="s">
        <v>2173</v>
      </c>
      <c r="C1473" s="187" t="s">
        <v>2174</v>
      </c>
      <c r="D1473" s="183" t="s">
        <v>375</v>
      </c>
      <c r="E1473" s="183" t="s">
        <v>2175</v>
      </c>
      <c r="F1473" s="186">
        <v>1418</v>
      </c>
      <c r="G1473" s="186">
        <v>0</v>
      </c>
      <c r="H1473" s="186">
        <v>0</v>
      </c>
      <c r="I1473" s="186">
        <v>0</v>
      </c>
      <c r="J1473" s="186">
        <v>0</v>
      </c>
      <c r="K1473" s="184"/>
    </row>
    <row r="1474" spans="1:11" s="185" customFormat="1" ht="63" customHeight="1" x14ac:dyDescent="0.25">
      <c r="A1474" s="201"/>
      <c r="B1474" s="203"/>
      <c r="C1474" s="187" t="s">
        <v>2191</v>
      </c>
      <c r="D1474" s="52" t="s">
        <v>302</v>
      </c>
      <c r="E1474" s="183" t="s">
        <v>303</v>
      </c>
      <c r="F1474" s="186">
        <v>1200</v>
      </c>
      <c r="G1474" s="186">
        <v>0</v>
      </c>
      <c r="H1474" s="186">
        <v>0</v>
      </c>
      <c r="I1474" s="186">
        <v>0</v>
      </c>
      <c r="J1474" s="186">
        <v>0</v>
      </c>
      <c r="K1474" s="184"/>
    </row>
    <row r="1475" spans="1:11" s="185" customFormat="1" ht="68.25" customHeight="1" x14ac:dyDescent="0.25">
      <c r="A1475" s="200" t="s">
        <v>2185</v>
      </c>
      <c r="B1475" s="202" t="s">
        <v>2176</v>
      </c>
      <c r="C1475" s="187" t="s">
        <v>2177</v>
      </c>
      <c r="D1475" s="183" t="s">
        <v>377</v>
      </c>
      <c r="E1475" s="183" t="s">
        <v>770</v>
      </c>
      <c r="F1475" s="186">
        <v>4</v>
      </c>
      <c r="G1475" s="186">
        <v>0</v>
      </c>
      <c r="H1475" s="186">
        <v>0</v>
      </c>
      <c r="I1475" s="186">
        <v>0</v>
      </c>
      <c r="J1475" s="186">
        <v>0</v>
      </c>
      <c r="K1475" s="184"/>
    </row>
    <row r="1476" spans="1:11" s="185" customFormat="1" ht="63" customHeight="1" x14ac:dyDescent="0.25">
      <c r="A1476" s="201"/>
      <c r="B1476" s="203"/>
      <c r="C1476" s="187" t="s">
        <v>2191</v>
      </c>
      <c r="D1476" s="52" t="s">
        <v>302</v>
      </c>
      <c r="E1476" s="183" t="s">
        <v>303</v>
      </c>
      <c r="F1476" s="186">
        <v>1203.17</v>
      </c>
      <c r="G1476" s="186">
        <v>0</v>
      </c>
      <c r="H1476" s="186">
        <v>0</v>
      </c>
      <c r="I1476" s="186">
        <v>0</v>
      </c>
      <c r="J1476" s="186">
        <v>0</v>
      </c>
      <c r="K1476" s="184"/>
    </row>
    <row r="1477" spans="1:11" s="185" customFormat="1" ht="68.25" customHeight="1" x14ac:dyDescent="0.25">
      <c r="A1477" s="200" t="s">
        <v>2186</v>
      </c>
      <c r="B1477" s="202" t="s">
        <v>363</v>
      </c>
      <c r="C1477" s="187" t="s">
        <v>2178</v>
      </c>
      <c r="D1477" s="183" t="s">
        <v>2179</v>
      </c>
      <c r="E1477" s="183" t="s">
        <v>301</v>
      </c>
      <c r="F1477" s="186">
        <v>6000</v>
      </c>
      <c r="G1477" s="186">
        <v>0</v>
      </c>
      <c r="H1477" s="186">
        <v>0</v>
      </c>
      <c r="I1477" s="186">
        <v>0</v>
      </c>
      <c r="J1477" s="186">
        <v>0</v>
      </c>
      <c r="K1477" s="184"/>
    </row>
    <row r="1478" spans="1:11" s="185" customFormat="1" ht="63" customHeight="1" x14ac:dyDescent="0.25">
      <c r="A1478" s="201"/>
      <c r="B1478" s="203"/>
      <c r="C1478" s="187" t="s">
        <v>2191</v>
      </c>
      <c r="D1478" s="52" t="s">
        <v>302</v>
      </c>
      <c r="E1478" s="183" t="s">
        <v>303</v>
      </c>
      <c r="F1478" s="186">
        <v>1084.9000000000001</v>
      </c>
      <c r="G1478" s="186">
        <v>0</v>
      </c>
      <c r="H1478" s="186">
        <v>0</v>
      </c>
      <c r="I1478" s="186">
        <v>0</v>
      </c>
      <c r="J1478" s="186">
        <v>0</v>
      </c>
      <c r="K1478" s="184"/>
    </row>
    <row r="1479" spans="1:11" s="185" customFormat="1" ht="68.25" customHeight="1" x14ac:dyDescent="0.25">
      <c r="A1479" s="200" t="s">
        <v>2187</v>
      </c>
      <c r="B1479" s="202" t="s">
        <v>363</v>
      </c>
      <c r="C1479" s="187" t="s">
        <v>2180</v>
      </c>
      <c r="D1479" s="183" t="s">
        <v>2179</v>
      </c>
      <c r="E1479" s="183" t="s">
        <v>301</v>
      </c>
      <c r="F1479" s="186">
        <v>2000</v>
      </c>
      <c r="G1479" s="186">
        <v>0</v>
      </c>
      <c r="H1479" s="186">
        <v>0</v>
      </c>
      <c r="I1479" s="186">
        <v>0</v>
      </c>
      <c r="J1479" s="186">
        <v>0</v>
      </c>
      <c r="K1479" s="184"/>
    </row>
    <row r="1480" spans="1:11" s="185" customFormat="1" ht="63" customHeight="1" x14ac:dyDescent="0.25">
      <c r="A1480" s="201"/>
      <c r="B1480" s="203"/>
      <c r="C1480" s="187" t="s">
        <v>2191</v>
      </c>
      <c r="D1480" s="52" t="s">
        <v>302</v>
      </c>
      <c r="E1480" s="183" t="s">
        <v>303</v>
      </c>
      <c r="F1480" s="186">
        <v>361.63</v>
      </c>
      <c r="G1480" s="186">
        <v>0</v>
      </c>
      <c r="H1480" s="186">
        <v>0</v>
      </c>
      <c r="I1480" s="186">
        <v>0</v>
      </c>
      <c r="J1480" s="186">
        <v>0</v>
      </c>
      <c r="K1480" s="184"/>
    </row>
    <row r="1481" spans="1:11" s="185" customFormat="1" ht="68.25" customHeight="1" x14ac:dyDescent="0.25">
      <c r="A1481" s="200" t="s">
        <v>2188</v>
      </c>
      <c r="B1481" s="202" t="s">
        <v>570</v>
      </c>
      <c r="C1481" s="187" t="s">
        <v>2172</v>
      </c>
      <c r="D1481" s="183" t="s">
        <v>394</v>
      </c>
      <c r="E1481" s="183" t="s">
        <v>770</v>
      </c>
      <c r="F1481" s="186">
        <v>3</v>
      </c>
      <c r="G1481" s="186">
        <v>0</v>
      </c>
      <c r="H1481" s="186">
        <v>0</v>
      </c>
      <c r="I1481" s="186">
        <v>0</v>
      </c>
      <c r="J1481" s="186">
        <v>0</v>
      </c>
      <c r="K1481" s="184"/>
    </row>
    <row r="1482" spans="1:11" s="185" customFormat="1" ht="63" customHeight="1" x14ac:dyDescent="0.25">
      <c r="A1482" s="201"/>
      <c r="B1482" s="203"/>
      <c r="C1482" s="187" t="s">
        <v>2191</v>
      </c>
      <c r="D1482" s="52" t="s">
        <v>302</v>
      </c>
      <c r="E1482" s="183" t="s">
        <v>303</v>
      </c>
      <c r="F1482" s="186">
        <v>902.61</v>
      </c>
      <c r="G1482" s="186">
        <v>0</v>
      </c>
      <c r="H1482" s="186">
        <v>0</v>
      </c>
      <c r="I1482" s="186">
        <v>0</v>
      </c>
      <c r="J1482" s="186">
        <v>0</v>
      </c>
      <c r="K1482" s="184"/>
    </row>
    <row r="1483" spans="1:11" s="185" customFormat="1" ht="68.25" customHeight="1" x14ac:dyDescent="0.25">
      <c r="A1483" s="200" t="s">
        <v>2189</v>
      </c>
      <c r="B1483" s="202" t="s">
        <v>570</v>
      </c>
      <c r="C1483" s="187" t="s">
        <v>2172</v>
      </c>
      <c r="D1483" s="183" t="s">
        <v>394</v>
      </c>
      <c r="E1483" s="183" t="s">
        <v>770</v>
      </c>
      <c r="F1483" s="186">
        <v>10</v>
      </c>
      <c r="G1483" s="186">
        <v>0</v>
      </c>
      <c r="H1483" s="186">
        <v>0</v>
      </c>
      <c r="I1483" s="186">
        <v>0</v>
      </c>
      <c r="J1483" s="186">
        <v>0</v>
      </c>
      <c r="K1483" s="184"/>
    </row>
    <row r="1484" spans="1:11" s="185" customFormat="1" ht="63" customHeight="1" x14ac:dyDescent="0.25">
      <c r="A1484" s="201"/>
      <c r="B1484" s="203"/>
      <c r="C1484" s="187" t="s">
        <v>2191</v>
      </c>
      <c r="D1484" s="52" t="s">
        <v>302</v>
      </c>
      <c r="E1484" s="183" t="s">
        <v>303</v>
      </c>
      <c r="F1484" s="186">
        <v>1242.82</v>
      </c>
      <c r="G1484" s="186">
        <v>0</v>
      </c>
      <c r="H1484" s="186">
        <v>0</v>
      </c>
      <c r="I1484" s="186">
        <v>0</v>
      </c>
      <c r="J1484" s="186">
        <v>0</v>
      </c>
      <c r="K1484" s="184"/>
    </row>
    <row r="1485" spans="1:11" s="185" customFormat="1" ht="68.25" customHeight="1" x14ac:dyDescent="0.25">
      <c r="A1485" s="200" t="s">
        <v>2190</v>
      </c>
      <c r="B1485" s="202" t="s">
        <v>570</v>
      </c>
      <c r="C1485" s="187" t="s">
        <v>2172</v>
      </c>
      <c r="D1485" s="183" t="s">
        <v>394</v>
      </c>
      <c r="E1485" s="183" t="s">
        <v>770</v>
      </c>
      <c r="F1485" s="186">
        <v>10</v>
      </c>
      <c r="G1485" s="186">
        <v>0</v>
      </c>
      <c r="H1485" s="186">
        <v>0</v>
      </c>
      <c r="I1485" s="186">
        <v>0</v>
      </c>
      <c r="J1485" s="186">
        <v>0</v>
      </c>
      <c r="K1485" s="184"/>
    </row>
    <row r="1486" spans="1:11" s="185" customFormat="1" ht="63" customHeight="1" x14ac:dyDescent="0.25">
      <c r="A1486" s="201"/>
      <c r="B1486" s="203"/>
      <c r="C1486" s="187" t="s">
        <v>2191</v>
      </c>
      <c r="D1486" s="52" t="s">
        <v>302</v>
      </c>
      <c r="E1486" s="183" t="s">
        <v>303</v>
      </c>
      <c r="F1486" s="186">
        <v>89.24</v>
      </c>
      <c r="G1486" s="186">
        <v>0</v>
      </c>
      <c r="H1486" s="186">
        <v>0</v>
      </c>
      <c r="I1486" s="186">
        <v>0</v>
      </c>
      <c r="J1486" s="186">
        <v>0</v>
      </c>
      <c r="K1486" s="184"/>
    </row>
    <row r="1487" spans="1:11" s="198" customFormat="1" ht="28.5" customHeight="1" x14ac:dyDescent="0.2">
      <c r="A1487" s="207" t="s">
        <v>2192</v>
      </c>
      <c r="B1487" s="208"/>
      <c r="C1487" s="208"/>
      <c r="D1487" s="209"/>
      <c r="E1487" s="196" t="s">
        <v>303</v>
      </c>
      <c r="F1487" s="199">
        <f>F1486+F1484+F1482+F1480+F1478+F1476+F1474+F1472+F1470</f>
        <v>11537.64</v>
      </c>
      <c r="G1487" s="199">
        <f t="shared" ref="G1487:J1487" si="36">G1486+G1484+G1482+G1480+G1478+G1476+G1474+G1472+G1470</f>
        <v>0</v>
      </c>
      <c r="H1487" s="199">
        <f t="shared" si="36"/>
        <v>0</v>
      </c>
      <c r="I1487" s="199">
        <f t="shared" si="36"/>
        <v>0</v>
      </c>
      <c r="J1487" s="199">
        <f t="shared" si="36"/>
        <v>0</v>
      </c>
      <c r="K1487" s="197"/>
    </row>
    <row r="1488" spans="1:11" ht="38.25" customHeight="1" x14ac:dyDescent="0.2">
      <c r="A1488" s="305" t="s">
        <v>2152</v>
      </c>
      <c r="B1488" s="305"/>
      <c r="C1488" s="305"/>
      <c r="D1488" s="305"/>
      <c r="E1488" s="181"/>
      <c r="F1488" s="182">
        <f>F1459+F1435+F1411++F1382+F1378+F1352+F1141+F1119+F1019+F923+F911+F905+F879+F504+F242+F234+F226+F220+F202+F191+F173+F1467+F1487</f>
        <v>16951059.258290686</v>
      </c>
      <c r="G1488" s="182">
        <f t="shared" ref="G1488:J1488" si="37">G1459+G1435+G1411++G1382+G1378+G1352+G1141+G1119+G1019+G923+G911+G905+G879+G504+G242+G234+G226+G220+G202+G191+G173+G1467+G1487</f>
        <v>17363197.355900995</v>
      </c>
      <c r="H1488" s="182">
        <f t="shared" si="37"/>
        <v>18206936.442559484</v>
      </c>
      <c r="I1488" s="182">
        <f t="shared" si="37"/>
        <v>18332365.326795265</v>
      </c>
      <c r="J1488" s="182">
        <f t="shared" si="37"/>
        <v>18876004.284714021</v>
      </c>
    </row>
  </sheetData>
  <mergeCells count="1378">
    <mergeCell ref="A1019:D1019"/>
    <mergeCell ref="A215:A219"/>
    <mergeCell ref="B215:B219"/>
    <mergeCell ref="A879:D879"/>
    <mergeCell ref="A1488:D1488"/>
    <mergeCell ref="A999:A1000"/>
    <mergeCell ref="B999:B1000"/>
    <mergeCell ref="A1001:A1002"/>
    <mergeCell ref="B1001:B1002"/>
    <mergeCell ref="A1003:A1004"/>
    <mergeCell ref="B1003:B1004"/>
    <mergeCell ref="A1005:A1008"/>
    <mergeCell ref="B1005:B1008"/>
    <mergeCell ref="A1009:A1010"/>
    <mergeCell ref="B1009:B1010"/>
    <mergeCell ref="A1011:A1012"/>
    <mergeCell ref="B1011:B1012"/>
    <mergeCell ref="A1013:A1014"/>
    <mergeCell ref="B1013:B1014"/>
    <mergeCell ref="A1015:A1016"/>
    <mergeCell ref="B1015:B1016"/>
    <mergeCell ref="A1017:A1018"/>
    <mergeCell ref="B1017:B1018"/>
    <mergeCell ref="A975:A976"/>
    <mergeCell ref="B975:B976"/>
    <mergeCell ref="A977:A978"/>
    <mergeCell ref="B977:B978"/>
    <mergeCell ref="A979:A980"/>
    <mergeCell ref="B979:B980"/>
    <mergeCell ref="A981:A982"/>
    <mergeCell ref="B981:B982"/>
    <mergeCell ref="A983:A984"/>
    <mergeCell ref="B987:B992"/>
    <mergeCell ref="A993:A996"/>
    <mergeCell ref="B993:B996"/>
    <mergeCell ref="A997:A998"/>
    <mergeCell ref="B997:B998"/>
    <mergeCell ref="A939:A950"/>
    <mergeCell ref="B939:B950"/>
    <mergeCell ref="A951:A952"/>
    <mergeCell ref="B951:B952"/>
    <mergeCell ref="A953:A956"/>
    <mergeCell ref="B953:B956"/>
    <mergeCell ref="A957:A960"/>
    <mergeCell ref="B957:B960"/>
    <mergeCell ref="A961:A964"/>
    <mergeCell ref="B961:B964"/>
    <mergeCell ref="A965:A968"/>
    <mergeCell ref="B965:B968"/>
    <mergeCell ref="A969:A970"/>
    <mergeCell ref="B969:B970"/>
    <mergeCell ref="A971:A972"/>
    <mergeCell ref="B971:B972"/>
    <mergeCell ref="A973:A974"/>
    <mergeCell ref="B973:B974"/>
    <mergeCell ref="B1436:J1436"/>
    <mergeCell ref="B1412:J1412"/>
    <mergeCell ref="A1435:D1435"/>
    <mergeCell ref="A1459:D1459"/>
    <mergeCell ref="B1379:J1379"/>
    <mergeCell ref="B1383:J1383"/>
    <mergeCell ref="A905:D905"/>
    <mergeCell ref="A1457:A1458"/>
    <mergeCell ref="B1457:B1458"/>
    <mergeCell ref="A1447:A1448"/>
    <mergeCell ref="B1447:B1448"/>
    <mergeCell ref="A1449:A1450"/>
    <mergeCell ref="B1449:B1450"/>
    <mergeCell ref="A1451:A1452"/>
    <mergeCell ref="B1451:B1452"/>
    <mergeCell ref="A1453:A1454"/>
    <mergeCell ref="B1453:B1454"/>
    <mergeCell ref="A1455:A1456"/>
    <mergeCell ref="B1455:B1456"/>
    <mergeCell ref="A1437:A1438"/>
    <mergeCell ref="B1437:B1438"/>
    <mergeCell ref="A1439:A1440"/>
    <mergeCell ref="B1439:B1440"/>
    <mergeCell ref="A1441:A1442"/>
    <mergeCell ref="B1441:B1442"/>
    <mergeCell ref="A1443:A1444"/>
    <mergeCell ref="B1443:B1444"/>
    <mergeCell ref="A1445:A1446"/>
    <mergeCell ref="B1445:B1446"/>
    <mergeCell ref="A1427:A1428"/>
    <mergeCell ref="B1427:B1428"/>
    <mergeCell ref="A1429:A1430"/>
    <mergeCell ref="B1429:B1430"/>
    <mergeCell ref="A1431:A1432"/>
    <mergeCell ref="B1431:B1432"/>
    <mergeCell ref="A1433:A1434"/>
    <mergeCell ref="B1433:B1434"/>
    <mergeCell ref="A1417:A1418"/>
    <mergeCell ref="B1417:B1418"/>
    <mergeCell ref="A1419:A1420"/>
    <mergeCell ref="B1419:B1420"/>
    <mergeCell ref="A1421:A1422"/>
    <mergeCell ref="B1421:B1422"/>
    <mergeCell ref="A1423:A1424"/>
    <mergeCell ref="B1423:B1424"/>
    <mergeCell ref="A1425:A1426"/>
    <mergeCell ref="B1425:B1426"/>
    <mergeCell ref="A1407:A1408"/>
    <mergeCell ref="B1407:B1408"/>
    <mergeCell ref="A1409:A1410"/>
    <mergeCell ref="B1409:B1410"/>
    <mergeCell ref="B1411:D1411"/>
    <mergeCell ref="A1413:A1414"/>
    <mergeCell ref="B1413:B1414"/>
    <mergeCell ref="A1415:A1416"/>
    <mergeCell ref="B1415:B1416"/>
    <mergeCell ref="A1397:A1398"/>
    <mergeCell ref="B1397:B1398"/>
    <mergeCell ref="A1399:A1400"/>
    <mergeCell ref="B1399:B1400"/>
    <mergeCell ref="A1401:A1402"/>
    <mergeCell ref="B1401:B1402"/>
    <mergeCell ref="A1403:A1404"/>
    <mergeCell ref="B1403:B1404"/>
    <mergeCell ref="A1405:A1406"/>
    <mergeCell ref="B1405:B1406"/>
    <mergeCell ref="A1386:A1387"/>
    <mergeCell ref="B1386:B1387"/>
    <mergeCell ref="A1388:A1389"/>
    <mergeCell ref="B1388:B1389"/>
    <mergeCell ref="A1390:A1391"/>
    <mergeCell ref="B1390:B1391"/>
    <mergeCell ref="A1393:A1394"/>
    <mergeCell ref="B1393:B1394"/>
    <mergeCell ref="A1395:A1396"/>
    <mergeCell ref="B1395:B1396"/>
    <mergeCell ref="A1374:A1375"/>
    <mergeCell ref="B1374:B1375"/>
    <mergeCell ref="A1376:A1377"/>
    <mergeCell ref="B1376:B1377"/>
    <mergeCell ref="B1378:D1378"/>
    <mergeCell ref="A1380:A1381"/>
    <mergeCell ref="B1380:B1381"/>
    <mergeCell ref="B1382:D1382"/>
    <mergeCell ref="A1384:A1385"/>
    <mergeCell ref="B1384:B1385"/>
    <mergeCell ref="A1360:A1361"/>
    <mergeCell ref="B1360:B1361"/>
    <mergeCell ref="A1362:A1363"/>
    <mergeCell ref="B1362:B1363"/>
    <mergeCell ref="A1364:A1369"/>
    <mergeCell ref="B1364:B1369"/>
    <mergeCell ref="A1370:A1371"/>
    <mergeCell ref="B1370:B1371"/>
    <mergeCell ref="A1372:A1373"/>
    <mergeCell ref="B1372:B1373"/>
    <mergeCell ref="A1350:A1351"/>
    <mergeCell ref="B1350:B1351"/>
    <mergeCell ref="A1352:D1352"/>
    <mergeCell ref="B1353:J1353"/>
    <mergeCell ref="A1354:A1355"/>
    <mergeCell ref="B1354:B1355"/>
    <mergeCell ref="A1356:A1357"/>
    <mergeCell ref="B1356:B1357"/>
    <mergeCell ref="A1358:A1359"/>
    <mergeCell ref="B1358:B1359"/>
    <mergeCell ref="A1340:A1341"/>
    <mergeCell ref="B1340:B1341"/>
    <mergeCell ref="A1342:A1343"/>
    <mergeCell ref="B1342:B1343"/>
    <mergeCell ref="A1344:A1345"/>
    <mergeCell ref="B1344:B1345"/>
    <mergeCell ref="A1346:A1347"/>
    <mergeCell ref="B1346:B1347"/>
    <mergeCell ref="A1348:A1349"/>
    <mergeCell ref="B1348:B1349"/>
    <mergeCell ref="A1330:A1331"/>
    <mergeCell ref="B1330:B1331"/>
    <mergeCell ref="A1332:A1333"/>
    <mergeCell ref="B1332:B1333"/>
    <mergeCell ref="A1334:A1335"/>
    <mergeCell ref="B1334:B1335"/>
    <mergeCell ref="A1336:A1337"/>
    <mergeCell ref="B1336:B1337"/>
    <mergeCell ref="A1338:A1339"/>
    <mergeCell ref="B1338:B1339"/>
    <mergeCell ref="A1315:A1318"/>
    <mergeCell ref="B1315:B1318"/>
    <mergeCell ref="A1319:A1320"/>
    <mergeCell ref="B1319:B1320"/>
    <mergeCell ref="A1321:A1324"/>
    <mergeCell ref="B1321:B1324"/>
    <mergeCell ref="A1325:A1327"/>
    <mergeCell ref="B1325:B1327"/>
    <mergeCell ref="A1328:A1329"/>
    <mergeCell ref="B1328:B1329"/>
    <mergeCell ref="A1302:A1304"/>
    <mergeCell ref="B1302:B1304"/>
    <mergeCell ref="A1305:A1307"/>
    <mergeCell ref="B1305:B1307"/>
    <mergeCell ref="A1308:A1309"/>
    <mergeCell ref="B1308:B1309"/>
    <mergeCell ref="A1310:A1311"/>
    <mergeCell ref="B1310:B1311"/>
    <mergeCell ref="A1312:A1314"/>
    <mergeCell ref="B1312:B1314"/>
    <mergeCell ref="A1290:A1291"/>
    <mergeCell ref="B1290:B1291"/>
    <mergeCell ref="A1292:A1293"/>
    <mergeCell ref="B1292:B1293"/>
    <mergeCell ref="A1294:A1296"/>
    <mergeCell ref="B1294:B1296"/>
    <mergeCell ref="A1297:A1299"/>
    <mergeCell ref="B1297:B1299"/>
    <mergeCell ref="A1300:A1301"/>
    <mergeCell ref="B1300:B1301"/>
    <mergeCell ref="A1280:A1281"/>
    <mergeCell ref="B1280:B1281"/>
    <mergeCell ref="A1282:A1283"/>
    <mergeCell ref="B1282:B1283"/>
    <mergeCell ref="A1284:A1285"/>
    <mergeCell ref="B1284:B1285"/>
    <mergeCell ref="A1286:A1287"/>
    <mergeCell ref="B1286:B1287"/>
    <mergeCell ref="A1288:A1289"/>
    <mergeCell ref="B1288:B1289"/>
    <mergeCell ref="A1270:A1271"/>
    <mergeCell ref="B1270:B1271"/>
    <mergeCell ref="A1272:A1273"/>
    <mergeCell ref="B1272:B1273"/>
    <mergeCell ref="A1274:A1275"/>
    <mergeCell ref="B1274:B1275"/>
    <mergeCell ref="A1276:A1277"/>
    <mergeCell ref="B1276:B1277"/>
    <mergeCell ref="A1278:A1279"/>
    <mergeCell ref="B1278:B1279"/>
    <mergeCell ref="A1258:A1260"/>
    <mergeCell ref="B1258:B1260"/>
    <mergeCell ref="A1261:A1262"/>
    <mergeCell ref="B1261:B1262"/>
    <mergeCell ref="A1263:A1265"/>
    <mergeCell ref="B1263:B1265"/>
    <mergeCell ref="A1266:A1267"/>
    <mergeCell ref="B1266:B1267"/>
    <mergeCell ref="A1268:A1269"/>
    <mergeCell ref="B1268:B1269"/>
    <mergeCell ref="A1242:A1244"/>
    <mergeCell ref="B1242:B1244"/>
    <mergeCell ref="A1245:A1248"/>
    <mergeCell ref="B1245:B1248"/>
    <mergeCell ref="A1249:A1252"/>
    <mergeCell ref="B1249:B1252"/>
    <mergeCell ref="A1253:A1255"/>
    <mergeCell ref="B1253:B1255"/>
    <mergeCell ref="A1256:A1257"/>
    <mergeCell ref="B1256:B1257"/>
    <mergeCell ref="A1223:A1226"/>
    <mergeCell ref="B1223:B1226"/>
    <mergeCell ref="A1227:A1230"/>
    <mergeCell ref="B1227:B1230"/>
    <mergeCell ref="A1231:A1233"/>
    <mergeCell ref="B1231:B1233"/>
    <mergeCell ref="A1234:A1238"/>
    <mergeCell ref="B1234:B1238"/>
    <mergeCell ref="A1239:A1241"/>
    <mergeCell ref="B1239:B1241"/>
    <mergeCell ref="A1209:A1211"/>
    <mergeCell ref="B1209:B1211"/>
    <mergeCell ref="A1212:A1213"/>
    <mergeCell ref="B1212:B1213"/>
    <mergeCell ref="A1214:A1217"/>
    <mergeCell ref="B1214:B1217"/>
    <mergeCell ref="A1218:A1220"/>
    <mergeCell ref="B1218:B1220"/>
    <mergeCell ref="A1221:A1222"/>
    <mergeCell ref="B1221:B1222"/>
    <mergeCell ref="A1193:A1194"/>
    <mergeCell ref="B1193:B1194"/>
    <mergeCell ref="A1195:A1196"/>
    <mergeCell ref="B1195:B1196"/>
    <mergeCell ref="A1197:A1200"/>
    <mergeCell ref="B1197:B1200"/>
    <mergeCell ref="A1201:A1204"/>
    <mergeCell ref="B1201:B1204"/>
    <mergeCell ref="A1205:A1208"/>
    <mergeCell ref="B1205:B1208"/>
    <mergeCell ref="A1180:A1182"/>
    <mergeCell ref="B1180:B1182"/>
    <mergeCell ref="A1183:A1184"/>
    <mergeCell ref="B1183:B1184"/>
    <mergeCell ref="A1185:A1186"/>
    <mergeCell ref="B1185:B1186"/>
    <mergeCell ref="A1187:A1190"/>
    <mergeCell ref="B1187:B1190"/>
    <mergeCell ref="A1191:A1192"/>
    <mergeCell ref="B1191:B1192"/>
    <mergeCell ref="A1163:A1166"/>
    <mergeCell ref="B1163:B1166"/>
    <mergeCell ref="A1167:A1170"/>
    <mergeCell ref="B1167:B1170"/>
    <mergeCell ref="A1171:A1173"/>
    <mergeCell ref="B1171:B1173"/>
    <mergeCell ref="A1174:A1176"/>
    <mergeCell ref="B1174:B1176"/>
    <mergeCell ref="A1177:A1179"/>
    <mergeCell ref="B1177:B1179"/>
    <mergeCell ref="A1149:A1150"/>
    <mergeCell ref="B1149:B1150"/>
    <mergeCell ref="A1151:A1153"/>
    <mergeCell ref="B1151:B1153"/>
    <mergeCell ref="A1154:A1157"/>
    <mergeCell ref="B1154:B1157"/>
    <mergeCell ref="A1158:A1159"/>
    <mergeCell ref="B1158:B1159"/>
    <mergeCell ref="A1160:A1162"/>
    <mergeCell ref="B1160:B1162"/>
    <mergeCell ref="A1137:A1138"/>
    <mergeCell ref="B1137:B1138"/>
    <mergeCell ref="A1139:A1140"/>
    <mergeCell ref="B1139:B1140"/>
    <mergeCell ref="B1141:D1141"/>
    <mergeCell ref="B1142:J1142"/>
    <mergeCell ref="A1143:A1145"/>
    <mergeCell ref="B1143:B1145"/>
    <mergeCell ref="A1146:A1148"/>
    <mergeCell ref="B1146:B1148"/>
    <mergeCell ref="A1127:A1128"/>
    <mergeCell ref="B1127:B1128"/>
    <mergeCell ref="A1129:A1130"/>
    <mergeCell ref="B1129:B1130"/>
    <mergeCell ref="A1131:A1132"/>
    <mergeCell ref="B1131:B1132"/>
    <mergeCell ref="A1133:A1134"/>
    <mergeCell ref="B1133:B1134"/>
    <mergeCell ref="A1135:A1136"/>
    <mergeCell ref="B1135:B1136"/>
    <mergeCell ref="A1116:A1117"/>
    <mergeCell ref="B1116:B1117"/>
    <mergeCell ref="B1119:D1119"/>
    <mergeCell ref="B1120:J1120"/>
    <mergeCell ref="A1121:A1122"/>
    <mergeCell ref="B1121:B1122"/>
    <mergeCell ref="A1123:A1124"/>
    <mergeCell ref="B1123:B1124"/>
    <mergeCell ref="A1125:A1126"/>
    <mergeCell ref="B1125:B1126"/>
    <mergeCell ref="A1106:A1107"/>
    <mergeCell ref="B1106:B1107"/>
    <mergeCell ref="A1108:A1109"/>
    <mergeCell ref="B1108:B1109"/>
    <mergeCell ref="A1110:A1111"/>
    <mergeCell ref="B1110:B1111"/>
    <mergeCell ref="A1112:A1113"/>
    <mergeCell ref="B1112:B1113"/>
    <mergeCell ref="A1114:A1115"/>
    <mergeCell ref="B1114:B1115"/>
    <mergeCell ref="A1096:A1097"/>
    <mergeCell ref="B1096:B1097"/>
    <mergeCell ref="A1098:A1099"/>
    <mergeCell ref="B1098:B1099"/>
    <mergeCell ref="A1100:A1101"/>
    <mergeCell ref="B1100:B1101"/>
    <mergeCell ref="A1102:A1103"/>
    <mergeCell ref="B1102:B1103"/>
    <mergeCell ref="A1104:A1105"/>
    <mergeCell ref="B1104:B1105"/>
    <mergeCell ref="A1086:A1087"/>
    <mergeCell ref="B1086:B1087"/>
    <mergeCell ref="A1088:A1089"/>
    <mergeCell ref="B1088:B1089"/>
    <mergeCell ref="A1090:A1091"/>
    <mergeCell ref="B1090:B1091"/>
    <mergeCell ref="A1092:A1093"/>
    <mergeCell ref="B1092:B1093"/>
    <mergeCell ref="A1094:A1095"/>
    <mergeCell ref="B1094:B1095"/>
    <mergeCell ref="A1076:A1077"/>
    <mergeCell ref="B1076:B1077"/>
    <mergeCell ref="A1078:A1079"/>
    <mergeCell ref="B1078:B1079"/>
    <mergeCell ref="A1080:A1081"/>
    <mergeCell ref="B1080:B1081"/>
    <mergeCell ref="A1082:A1083"/>
    <mergeCell ref="B1082:B1083"/>
    <mergeCell ref="A1084:A1085"/>
    <mergeCell ref="B1084:B1085"/>
    <mergeCell ref="A1066:A1067"/>
    <mergeCell ref="B1066:B1067"/>
    <mergeCell ref="A1068:A1069"/>
    <mergeCell ref="B1068:B1069"/>
    <mergeCell ref="A1070:A1071"/>
    <mergeCell ref="B1070:B1071"/>
    <mergeCell ref="A1072:A1073"/>
    <mergeCell ref="B1072:B1073"/>
    <mergeCell ref="A1074:A1075"/>
    <mergeCell ref="B1074:B1075"/>
    <mergeCell ref="A1056:A1057"/>
    <mergeCell ref="B1056:B1057"/>
    <mergeCell ref="A1058:A1059"/>
    <mergeCell ref="B1058:B1059"/>
    <mergeCell ref="A1060:A1061"/>
    <mergeCell ref="B1060:B1061"/>
    <mergeCell ref="A1062:A1063"/>
    <mergeCell ref="B1062:B1063"/>
    <mergeCell ref="A1064:A1065"/>
    <mergeCell ref="B1064:B1065"/>
    <mergeCell ref="A1046:A1047"/>
    <mergeCell ref="B1046:B1047"/>
    <mergeCell ref="A1048:A1049"/>
    <mergeCell ref="B1048:B1049"/>
    <mergeCell ref="A1050:A1051"/>
    <mergeCell ref="B1050:B1051"/>
    <mergeCell ref="A1052:A1053"/>
    <mergeCell ref="B1052:B1053"/>
    <mergeCell ref="A1054:A1055"/>
    <mergeCell ref="B1054:B1055"/>
    <mergeCell ref="A1036:A1037"/>
    <mergeCell ref="B1036:B1037"/>
    <mergeCell ref="A1038:A1039"/>
    <mergeCell ref="B1038:B1039"/>
    <mergeCell ref="A1040:A1041"/>
    <mergeCell ref="B1040:B1041"/>
    <mergeCell ref="A1042:A1043"/>
    <mergeCell ref="B1042:B1043"/>
    <mergeCell ref="A1044:A1045"/>
    <mergeCell ref="B1044:B1045"/>
    <mergeCell ref="A1025:A1026"/>
    <mergeCell ref="B1025:B1026"/>
    <mergeCell ref="A1027:A1028"/>
    <mergeCell ref="B1027:B1028"/>
    <mergeCell ref="A1029:A1031"/>
    <mergeCell ref="B1029:B1031"/>
    <mergeCell ref="A1032:A1033"/>
    <mergeCell ref="B1032:B1033"/>
    <mergeCell ref="A1034:A1035"/>
    <mergeCell ref="B1034:B1035"/>
    <mergeCell ref="B923:D923"/>
    <mergeCell ref="B1020:J1020"/>
    <mergeCell ref="A1021:A1022"/>
    <mergeCell ref="B1021:B1022"/>
    <mergeCell ref="A1023:A1024"/>
    <mergeCell ref="B1023:B1024"/>
    <mergeCell ref="B912:J912"/>
    <mergeCell ref="A913:A914"/>
    <mergeCell ref="B913:B914"/>
    <mergeCell ref="A915:A918"/>
    <mergeCell ref="B915:B918"/>
    <mergeCell ref="A919:A920"/>
    <mergeCell ref="B919:B920"/>
    <mergeCell ref="A921:A922"/>
    <mergeCell ref="B921:B922"/>
    <mergeCell ref="B924:J924"/>
    <mergeCell ref="A925:A928"/>
    <mergeCell ref="B925:B928"/>
    <mergeCell ref="A929:A930"/>
    <mergeCell ref="B929:B930"/>
    <mergeCell ref="A931:A932"/>
    <mergeCell ref="B931:B932"/>
    <mergeCell ref="A933:A934"/>
    <mergeCell ref="B933:B934"/>
    <mergeCell ref="A935:A936"/>
    <mergeCell ref="B935:B936"/>
    <mergeCell ref="A937:A938"/>
    <mergeCell ref="B937:B938"/>
    <mergeCell ref="B983:B984"/>
    <mergeCell ref="A985:A986"/>
    <mergeCell ref="B985:B986"/>
    <mergeCell ref="A987:A992"/>
    <mergeCell ref="B911:E911"/>
    <mergeCell ref="A907:A908"/>
    <mergeCell ref="B907:B908"/>
    <mergeCell ref="A909:A910"/>
    <mergeCell ref="B909:B910"/>
    <mergeCell ref="A877:A878"/>
    <mergeCell ref="B877:B878"/>
    <mergeCell ref="B881:B882"/>
    <mergeCell ref="B883:B884"/>
    <mergeCell ref="B885:B886"/>
    <mergeCell ref="B887:B888"/>
    <mergeCell ref="B889:B890"/>
    <mergeCell ref="B891:B892"/>
    <mergeCell ref="B893:B894"/>
    <mergeCell ref="B895:B896"/>
    <mergeCell ref="A881:A882"/>
    <mergeCell ref="A883:A884"/>
    <mergeCell ref="A885:A886"/>
    <mergeCell ref="A887:A888"/>
    <mergeCell ref="B897:B898"/>
    <mergeCell ref="A867:A868"/>
    <mergeCell ref="B867:B868"/>
    <mergeCell ref="A869:A870"/>
    <mergeCell ref="B869:B870"/>
    <mergeCell ref="A871:A872"/>
    <mergeCell ref="B871:B872"/>
    <mergeCell ref="A873:A874"/>
    <mergeCell ref="B873:B874"/>
    <mergeCell ref="A875:A876"/>
    <mergeCell ref="B875:B876"/>
    <mergeCell ref="A857:A858"/>
    <mergeCell ref="B857:B858"/>
    <mergeCell ref="A859:A860"/>
    <mergeCell ref="B859:B860"/>
    <mergeCell ref="A861:A862"/>
    <mergeCell ref="B861:B862"/>
    <mergeCell ref="A863:A864"/>
    <mergeCell ref="B863:B864"/>
    <mergeCell ref="A865:A866"/>
    <mergeCell ref="B865:B866"/>
    <mergeCell ref="A847:A848"/>
    <mergeCell ref="B847:B848"/>
    <mergeCell ref="A849:A850"/>
    <mergeCell ref="B849:B850"/>
    <mergeCell ref="A851:A852"/>
    <mergeCell ref="B851:B852"/>
    <mergeCell ref="A853:A854"/>
    <mergeCell ref="B853:B854"/>
    <mergeCell ref="A855:A856"/>
    <mergeCell ref="B855:B856"/>
    <mergeCell ref="A837:A838"/>
    <mergeCell ref="B837:B838"/>
    <mergeCell ref="A839:A840"/>
    <mergeCell ref="B839:B840"/>
    <mergeCell ref="A841:A842"/>
    <mergeCell ref="B841:B842"/>
    <mergeCell ref="A843:A844"/>
    <mergeCell ref="B843:B844"/>
    <mergeCell ref="A845:A846"/>
    <mergeCell ref="B845:B846"/>
    <mergeCell ref="A827:A828"/>
    <mergeCell ref="B827:B828"/>
    <mergeCell ref="A829:A830"/>
    <mergeCell ref="B829:B830"/>
    <mergeCell ref="A831:A832"/>
    <mergeCell ref="B831:B832"/>
    <mergeCell ref="A833:A834"/>
    <mergeCell ref="B833:B834"/>
    <mergeCell ref="A835:A836"/>
    <mergeCell ref="B835:B836"/>
    <mergeCell ref="A817:A818"/>
    <mergeCell ref="B817:B818"/>
    <mergeCell ref="A819:A820"/>
    <mergeCell ref="B819:B820"/>
    <mergeCell ref="A821:A822"/>
    <mergeCell ref="B821:B822"/>
    <mergeCell ref="A823:A824"/>
    <mergeCell ref="B823:B824"/>
    <mergeCell ref="A825:A826"/>
    <mergeCell ref="B825:B826"/>
    <mergeCell ref="A807:A808"/>
    <mergeCell ref="B807:B808"/>
    <mergeCell ref="A809:A810"/>
    <mergeCell ref="B809:B810"/>
    <mergeCell ref="A811:A812"/>
    <mergeCell ref="B811:B812"/>
    <mergeCell ref="A813:A814"/>
    <mergeCell ref="B813:B814"/>
    <mergeCell ref="A815:A816"/>
    <mergeCell ref="B815:B816"/>
    <mergeCell ref="A797:A798"/>
    <mergeCell ref="B797:B798"/>
    <mergeCell ref="A799:A800"/>
    <mergeCell ref="B799:B800"/>
    <mergeCell ref="A801:A802"/>
    <mergeCell ref="B801:B802"/>
    <mergeCell ref="A803:A804"/>
    <mergeCell ref="B803:B804"/>
    <mergeCell ref="A805:A806"/>
    <mergeCell ref="B805:B806"/>
    <mergeCell ref="A787:A788"/>
    <mergeCell ref="B787:B788"/>
    <mergeCell ref="A789:A790"/>
    <mergeCell ref="B789:B790"/>
    <mergeCell ref="A791:A792"/>
    <mergeCell ref="B791:B792"/>
    <mergeCell ref="A793:A794"/>
    <mergeCell ref="B793:B794"/>
    <mergeCell ref="A795:A796"/>
    <mergeCell ref="B795:B796"/>
    <mergeCell ref="A777:A778"/>
    <mergeCell ref="B777:B778"/>
    <mergeCell ref="A779:A780"/>
    <mergeCell ref="B779:B780"/>
    <mergeCell ref="A781:A782"/>
    <mergeCell ref="B781:B782"/>
    <mergeCell ref="A783:A784"/>
    <mergeCell ref="B783:B784"/>
    <mergeCell ref="A785:A786"/>
    <mergeCell ref="B785:B786"/>
    <mergeCell ref="A767:A768"/>
    <mergeCell ref="B767:B768"/>
    <mergeCell ref="A769:A770"/>
    <mergeCell ref="B769:B770"/>
    <mergeCell ref="A771:A772"/>
    <mergeCell ref="B771:B772"/>
    <mergeCell ref="A773:A774"/>
    <mergeCell ref="B773:B774"/>
    <mergeCell ref="A775:A776"/>
    <mergeCell ref="B775:B776"/>
    <mergeCell ref="A757:A758"/>
    <mergeCell ref="B757:B758"/>
    <mergeCell ref="A759:A760"/>
    <mergeCell ref="B759:B760"/>
    <mergeCell ref="A761:A762"/>
    <mergeCell ref="B761:B762"/>
    <mergeCell ref="A763:A764"/>
    <mergeCell ref="B763:B764"/>
    <mergeCell ref="A765:A766"/>
    <mergeCell ref="B765:B766"/>
    <mergeCell ref="A747:A748"/>
    <mergeCell ref="B747:B748"/>
    <mergeCell ref="A749:A750"/>
    <mergeCell ref="B749:B750"/>
    <mergeCell ref="A751:A752"/>
    <mergeCell ref="B751:B752"/>
    <mergeCell ref="A753:A754"/>
    <mergeCell ref="B753:B754"/>
    <mergeCell ref="A755:A756"/>
    <mergeCell ref="B755:B756"/>
    <mergeCell ref="A737:A738"/>
    <mergeCell ref="B737:B738"/>
    <mergeCell ref="A739:A740"/>
    <mergeCell ref="B739:B740"/>
    <mergeCell ref="A741:A742"/>
    <mergeCell ref="B741:B742"/>
    <mergeCell ref="A743:A744"/>
    <mergeCell ref="B743:B744"/>
    <mergeCell ref="A745:A746"/>
    <mergeCell ref="B745:B746"/>
    <mergeCell ref="A727:A728"/>
    <mergeCell ref="B727:B728"/>
    <mergeCell ref="A729:A730"/>
    <mergeCell ref="B729:B730"/>
    <mergeCell ref="A731:A732"/>
    <mergeCell ref="B731:B732"/>
    <mergeCell ref="A733:A734"/>
    <mergeCell ref="B733:B734"/>
    <mergeCell ref="A735:A736"/>
    <mergeCell ref="B735:B736"/>
    <mergeCell ref="A717:A718"/>
    <mergeCell ref="B717:B718"/>
    <mergeCell ref="A719:A720"/>
    <mergeCell ref="B719:B720"/>
    <mergeCell ref="A721:A722"/>
    <mergeCell ref="B721:B722"/>
    <mergeCell ref="A723:A724"/>
    <mergeCell ref="B723:B724"/>
    <mergeCell ref="A725:A726"/>
    <mergeCell ref="B725:B726"/>
    <mergeCell ref="A707:A708"/>
    <mergeCell ref="B707:B708"/>
    <mergeCell ref="A709:A710"/>
    <mergeCell ref="B709:B710"/>
    <mergeCell ref="A711:A712"/>
    <mergeCell ref="B711:B712"/>
    <mergeCell ref="A713:A714"/>
    <mergeCell ref="B713:B714"/>
    <mergeCell ref="A715:A716"/>
    <mergeCell ref="B715:B716"/>
    <mergeCell ref="A697:A698"/>
    <mergeCell ref="B697:B698"/>
    <mergeCell ref="A699:A700"/>
    <mergeCell ref="B699:B700"/>
    <mergeCell ref="A701:A702"/>
    <mergeCell ref="B701:B702"/>
    <mergeCell ref="A703:A704"/>
    <mergeCell ref="B703:B704"/>
    <mergeCell ref="A705:A706"/>
    <mergeCell ref="B705:B706"/>
    <mergeCell ref="A687:A688"/>
    <mergeCell ref="B687:B688"/>
    <mergeCell ref="A689:A690"/>
    <mergeCell ref="B689:B690"/>
    <mergeCell ref="A691:A692"/>
    <mergeCell ref="B691:B692"/>
    <mergeCell ref="A693:A694"/>
    <mergeCell ref="B693:B694"/>
    <mergeCell ref="A695:A696"/>
    <mergeCell ref="B695:B696"/>
    <mergeCell ref="A677:A678"/>
    <mergeCell ref="B677:B678"/>
    <mergeCell ref="A679:A680"/>
    <mergeCell ref="B679:B680"/>
    <mergeCell ref="A681:A682"/>
    <mergeCell ref="B681:B682"/>
    <mergeCell ref="A683:A684"/>
    <mergeCell ref="B683:B684"/>
    <mergeCell ref="A685:A686"/>
    <mergeCell ref="B685:B686"/>
    <mergeCell ref="A667:A668"/>
    <mergeCell ref="B667:B668"/>
    <mergeCell ref="A669:A670"/>
    <mergeCell ref="B669:B670"/>
    <mergeCell ref="A671:A672"/>
    <mergeCell ref="B671:B672"/>
    <mergeCell ref="A673:A674"/>
    <mergeCell ref="B673:B674"/>
    <mergeCell ref="A675:A676"/>
    <mergeCell ref="B675:B676"/>
    <mergeCell ref="A657:A658"/>
    <mergeCell ref="B657:B658"/>
    <mergeCell ref="A659:A660"/>
    <mergeCell ref="B659:B660"/>
    <mergeCell ref="A661:A662"/>
    <mergeCell ref="B661:B662"/>
    <mergeCell ref="A663:A664"/>
    <mergeCell ref="B663:B664"/>
    <mergeCell ref="A665:A666"/>
    <mergeCell ref="B665:B666"/>
    <mergeCell ref="A647:A648"/>
    <mergeCell ref="B647:B648"/>
    <mergeCell ref="A649:A650"/>
    <mergeCell ref="B649:B650"/>
    <mergeCell ref="A651:A652"/>
    <mergeCell ref="B651:B652"/>
    <mergeCell ref="A653:A654"/>
    <mergeCell ref="B653:B654"/>
    <mergeCell ref="A655:A656"/>
    <mergeCell ref="B655:B656"/>
    <mergeCell ref="A637:A638"/>
    <mergeCell ref="B637:B638"/>
    <mergeCell ref="A639:A640"/>
    <mergeCell ref="B639:B640"/>
    <mergeCell ref="A641:A642"/>
    <mergeCell ref="B641:B642"/>
    <mergeCell ref="A643:A644"/>
    <mergeCell ref="B643:B644"/>
    <mergeCell ref="A645:A646"/>
    <mergeCell ref="B645:B646"/>
    <mergeCell ref="A627:A628"/>
    <mergeCell ref="B627:B628"/>
    <mergeCell ref="A629:A630"/>
    <mergeCell ref="B629:B630"/>
    <mergeCell ref="A631:A632"/>
    <mergeCell ref="B631:B632"/>
    <mergeCell ref="A633:A634"/>
    <mergeCell ref="B633:B634"/>
    <mergeCell ref="A635:A636"/>
    <mergeCell ref="B635:B636"/>
    <mergeCell ref="A617:A618"/>
    <mergeCell ref="B617:B618"/>
    <mergeCell ref="A619:A620"/>
    <mergeCell ref="B619:B620"/>
    <mergeCell ref="A621:A622"/>
    <mergeCell ref="B621:B622"/>
    <mergeCell ref="A623:A624"/>
    <mergeCell ref="B623:B624"/>
    <mergeCell ref="A625:A626"/>
    <mergeCell ref="B625:B626"/>
    <mergeCell ref="A607:A608"/>
    <mergeCell ref="B607:B608"/>
    <mergeCell ref="A609:A610"/>
    <mergeCell ref="B609:B610"/>
    <mergeCell ref="A611:A612"/>
    <mergeCell ref="B611:B612"/>
    <mergeCell ref="A613:A614"/>
    <mergeCell ref="B613:B614"/>
    <mergeCell ref="A615:A616"/>
    <mergeCell ref="B615:B616"/>
    <mergeCell ref="A597:A598"/>
    <mergeCell ref="B597:B598"/>
    <mergeCell ref="A599:A600"/>
    <mergeCell ref="B599:B600"/>
    <mergeCell ref="A601:A602"/>
    <mergeCell ref="B601:B602"/>
    <mergeCell ref="A603:A604"/>
    <mergeCell ref="B603:B604"/>
    <mergeCell ref="A605:A606"/>
    <mergeCell ref="B605:B606"/>
    <mergeCell ref="A587:A588"/>
    <mergeCell ref="B587:B588"/>
    <mergeCell ref="A589:A590"/>
    <mergeCell ref="B589:B590"/>
    <mergeCell ref="A591:A592"/>
    <mergeCell ref="B591:B592"/>
    <mergeCell ref="A593:A594"/>
    <mergeCell ref="B593:B594"/>
    <mergeCell ref="A595:A596"/>
    <mergeCell ref="B595:B596"/>
    <mergeCell ref="A577:A578"/>
    <mergeCell ref="B577:B578"/>
    <mergeCell ref="A579:A580"/>
    <mergeCell ref="B579:B580"/>
    <mergeCell ref="A581:A582"/>
    <mergeCell ref="B581:B582"/>
    <mergeCell ref="A583:A584"/>
    <mergeCell ref="B583:B584"/>
    <mergeCell ref="A585:A586"/>
    <mergeCell ref="B585:B586"/>
    <mergeCell ref="A567:A568"/>
    <mergeCell ref="B567:B568"/>
    <mergeCell ref="A569:A570"/>
    <mergeCell ref="B569:B570"/>
    <mergeCell ref="A571:A572"/>
    <mergeCell ref="B571:B572"/>
    <mergeCell ref="A573:A574"/>
    <mergeCell ref="B573:B574"/>
    <mergeCell ref="A575:A576"/>
    <mergeCell ref="B575:B576"/>
    <mergeCell ref="A556:A557"/>
    <mergeCell ref="B556:B557"/>
    <mergeCell ref="A558:A559"/>
    <mergeCell ref="B558:B559"/>
    <mergeCell ref="A560:A561"/>
    <mergeCell ref="B560:B561"/>
    <mergeCell ref="A562:A563"/>
    <mergeCell ref="B562:B563"/>
    <mergeCell ref="A564:A565"/>
    <mergeCell ref="B564:B565"/>
    <mergeCell ref="A548:A549"/>
    <mergeCell ref="B548:B549"/>
    <mergeCell ref="A550:A551"/>
    <mergeCell ref="B550:B551"/>
    <mergeCell ref="A552:A553"/>
    <mergeCell ref="B552:B553"/>
    <mergeCell ref="A554:A555"/>
    <mergeCell ref="B554:B555"/>
    <mergeCell ref="A536:A537"/>
    <mergeCell ref="B536:B537"/>
    <mergeCell ref="A538:A539"/>
    <mergeCell ref="B538:B539"/>
    <mergeCell ref="A540:A541"/>
    <mergeCell ref="B540:B541"/>
    <mergeCell ref="A542:A543"/>
    <mergeCell ref="B542:B543"/>
    <mergeCell ref="A544:A545"/>
    <mergeCell ref="B544:B545"/>
    <mergeCell ref="B530:B531"/>
    <mergeCell ref="A532:A533"/>
    <mergeCell ref="B532:B533"/>
    <mergeCell ref="A534:A535"/>
    <mergeCell ref="B534:B535"/>
    <mergeCell ref="A516:A517"/>
    <mergeCell ref="B516:B517"/>
    <mergeCell ref="A518:A519"/>
    <mergeCell ref="B518:B519"/>
    <mergeCell ref="A520:A521"/>
    <mergeCell ref="B520:B521"/>
    <mergeCell ref="A522:A523"/>
    <mergeCell ref="B522:B523"/>
    <mergeCell ref="A524:A525"/>
    <mergeCell ref="B524:B525"/>
    <mergeCell ref="A546:A547"/>
    <mergeCell ref="B546:B547"/>
    <mergeCell ref="A528:A529"/>
    <mergeCell ref="B528:B529"/>
    <mergeCell ref="A530:A531"/>
    <mergeCell ref="A169:A170"/>
    <mergeCell ref="B169:B170"/>
    <mergeCell ref="A171:A172"/>
    <mergeCell ref="B171:B172"/>
    <mergeCell ref="B213:B214"/>
    <mergeCell ref="B174:J174"/>
    <mergeCell ref="B173:D173"/>
    <mergeCell ref="B202:D202"/>
    <mergeCell ref="B193:B195"/>
    <mergeCell ref="B196:B197"/>
    <mergeCell ref="B198:B199"/>
    <mergeCell ref="B200:B201"/>
    <mergeCell ref="B191:D191"/>
    <mergeCell ref="B192:J192"/>
    <mergeCell ref="B203:J203"/>
    <mergeCell ref="B204:B212"/>
    <mergeCell ref="C204:C206"/>
    <mergeCell ref="C208:C211"/>
    <mergeCell ref="A187:A190"/>
    <mergeCell ref="B187:B190"/>
    <mergeCell ref="A193:A195"/>
    <mergeCell ref="A196:A197"/>
    <mergeCell ref="A198:A199"/>
    <mergeCell ref="A200:A201"/>
    <mergeCell ref="A159:A160"/>
    <mergeCell ref="B159:B160"/>
    <mergeCell ref="A161:A162"/>
    <mergeCell ref="B161:B162"/>
    <mergeCell ref="A163:A164"/>
    <mergeCell ref="B163:B164"/>
    <mergeCell ref="A165:A166"/>
    <mergeCell ref="B165:B166"/>
    <mergeCell ref="A167:A168"/>
    <mergeCell ref="B167:B168"/>
    <mergeCell ref="A149:A150"/>
    <mergeCell ref="B149:B150"/>
    <mergeCell ref="A151:A152"/>
    <mergeCell ref="B151:B152"/>
    <mergeCell ref="A153:A154"/>
    <mergeCell ref="B153:B154"/>
    <mergeCell ref="A155:A156"/>
    <mergeCell ref="B155:B156"/>
    <mergeCell ref="A157:A158"/>
    <mergeCell ref="B157:B158"/>
    <mergeCell ref="A139:A140"/>
    <mergeCell ref="B139:B140"/>
    <mergeCell ref="A141:A142"/>
    <mergeCell ref="B141:B142"/>
    <mergeCell ref="A143:A144"/>
    <mergeCell ref="B143:B144"/>
    <mergeCell ref="A145:A146"/>
    <mergeCell ref="B145:B146"/>
    <mergeCell ref="A147:A148"/>
    <mergeCell ref="B147:B148"/>
    <mergeCell ref="A129:A130"/>
    <mergeCell ref="B129:B130"/>
    <mergeCell ref="A131:A132"/>
    <mergeCell ref="B131:B132"/>
    <mergeCell ref="A133:A134"/>
    <mergeCell ref="B133:B134"/>
    <mergeCell ref="A135:A136"/>
    <mergeCell ref="B135:B136"/>
    <mergeCell ref="A137:A138"/>
    <mergeCell ref="B137:B138"/>
    <mergeCell ref="A119:A120"/>
    <mergeCell ref="B119:B120"/>
    <mergeCell ref="A121:A122"/>
    <mergeCell ref="B121:B122"/>
    <mergeCell ref="A123:A124"/>
    <mergeCell ref="B123:B124"/>
    <mergeCell ref="A125:A126"/>
    <mergeCell ref="B125:B126"/>
    <mergeCell ref="A127:A128"/>
    <mergeCell ref="B127:B128"/>
    <mergeCell ref="A109:A110"/>
    <mergeCell ref="B109:B110"/>
    <mergeCell ref="A111:A112"/>
    <mergeCell ref="B111:B112"/>
    <mergeCell ref="A113:A114"/>
    <mergeCell ref="B113:B114"/>
    <mergeCell ref="A115:A116"/>
    <mergeCell ref="B115:B116"/>
    <mergeCell ref="A117:A118"/>
    <mergeCell ref="B117:B118"/>
    <mergeCell ref="A99:A100"/>
    <mergeCell ref="B99:B100"/>
    <mergeCell ref="A101:A102"/>
    <mergeCell ref="B101:B102"/>
    <mergeCell ref="A103:A104"/>
    <mergeCell ref="B103:B104"/>
    <mergeCell ref="A105:A106"/>
    <mergeCell ref="B105:B106"/>
    <mergeCell ref="A107:A108"/>
    <mergeCell ref="B107:B108"/>
    <mergeCell ref="A89:A90"/>
    <mergeCell ref="B89:B90"/>
    <mergeCell ref="A91:A92"/>
    <mergeCell ref="B91:B92"/>
    <mergeCell ref="A93:A94"/>
    <mergeCell ref="B93:B94"/>
    <mergeCell ref="A95:A96"/>
    <mergeCell ref="B95:B96"/>
    <mergeCell ref="A97:A98"/>
    <mergeCell ref="B97:B98"/>
    <mergeCell ref="A79:A80"/>
    <mergeCell ref="B79:B80"/>
    <mergeCell ref="A81:A82"/>
    <mergeCell ref="B81:B82"/>
    <mergeCell ref="A83:A84"/>
    <mergeCell ref="B83:B84"/>
    <mergeCell ref="A85:A86"/>
    <mergeCell ref="B85:B86"/>
    <mergeCell ref="A87:A88"/>
    <mergeCell ref="B87:B88"/>
    <mergeCell ref="A69:A70"/>
    <mergeCell ref="B69:B70"/>
    <mergeCell ref="A71:A72"/>
    <mergeCell ref="B71:B72"/>
    <mergeCell ref="A73:A74"/>
    <mergeCell ref="B73:B74"/>
    <mergeCell ref="A75:A76"/>
    <mergeCell ref="B75:B76"/>
    <mergeCell ref="A77:A78"/>
    <mergeCell ref="B77:B78"/>
    <mergeCell ref="A59:A60"/>
    <mergeCell ref="B59:B60"/>
    <mergeCell ref="A61:A62"/>
    <mergeCell ref="B61:B62"/>
    <mergeCell ref="A63:A64"/>
    <mergeCell ref="B63:B64"/>
    <mergeCell ref="A65:A66"/>
    <mergeCell ref="B65:B66"/>
    <mergeCell ref="A67:A68"/>
    <mergeCell ref="B67:B68"/>
    <mergeCell ref="A49:A50"/>
    <mergeCell ref="B49:B50"/>
    <mergeCell ref="A51:A52"/>
    <mergeCell ref="B51:B52"/>
    <mergeCell ref="A53:A54"/>
    <mergeCell ref="B53:B54"/>
    <mergeCell ref="A55:A56"/>
    <mergeCell ref="B55:B56"/>
    <mergeCell ref="A57:A58"/>
    <mergeCell ref="B57:B58"/>
    <mergeCell ref="B39:B40"/>
    <mergeCell ref="A41:A42"/>
    <mergeCell ref="B41:B42"/>
    <mergeCell ref="A43:A44"/>
    <mergeCell ref="B43:B44"/>
    <mergeCell ref="A45:A46"/>
    <mergeCell ref="B45:B46"/>
    <mergeCell ref="A47:A48"/>
    <mergeCell ref="B47:B48"/>
    <mergeCell ref="A29:A30"/>
    <mergeCell ref="B29:B30"/>
    <mergeCell ref="A31:A32"/>
    <mergeCell ref="B31:B32"/>
    <mergeCell ref="A33:A34"/>
    <mergeCell ref="B33:B34"/>
    <mergeCell ref="A35:A36"/>
    <mergeCell ref="B35:B36"/>
    <mergeCell ref="A37:A38"/>
    <mergeCell ref="B37:B38"/>
    <mergeCell ref="A19:A20"/>
    <mergeCell ref="B19:B20"/>
    <mergeCell ref="A21:A22"/>
    <mergeCell ref="B21:B22"/>
    <mergeCell ref="A23:A24"/>
    <mergeCell ref="B23:B24"/>
    <mergeCell ref="A25:A26"/>
    <mergeCell ref="B25:B26"/>
    <mergeCell ref="A27:A28"/>
    <mergeCell ref="B27:B28"/>
    <mergeCell ref="B4:J4"/>
    <mergeCell ref="A175:A180"/>
    <mergeCell ref="B175:B180"/>
    <mergeCell ref="A181:A184"/>
    <mergeCell ref="B181:B184"/>
    <mergeCell ref="A185:A186"/>
    <mergeCell ref="B185:B186"/>
    <mergeCell ref="A5:A6"/>
    <mergeCell ref="B5:B6"/>
    <mergeCell ref="A7:A8"/>
    <mergeCell ref="B7:B8"/>
    <mergeCell ref="A9:A10"/>
    <mergeCell ref="B9:B10"/>
    <mergeCell ref="A11:A12"/>
    <mergeCell ref="B11:B12"/>
    <mergeCell ref="A13:A14"/>
    <mergeCell ref="B13:B14"/>
    <mergeCell ref="A15:A16"/>
    <mergeCell ref="B15:B16"/>
    <mergeCell ref="A17:A18"/>
    <mergeCell ref="B17:B18"/>
    <mergeCell ref="A39:A40"/>
    <mergeCell ref="A226:D226"/>
    <mergeCell ref="B243:J243"/>
    <mergeCell ref="A244:A245"/>
    <mergeCell ref="B244:B245"/>
    <mergeCell ref="A246:A247"/>
    <mergeCell ref="B246:B247"/>
    <mergeCell ref="A220:D220"/>
    <mergeCell ref="A224:A225"/>
    <mergeCell ref="B224:B225"/>
    <mergeCell ref="B227:J227"/>
    <mergeCell ref="A228:A229"/>
    <mergeCell ref="B228:B229"/>
    <mergeCell ref="A230:A233"/>
    <mergeCell ref="B230:B233"/>
    <mergeCell ref="A234:D234"/>
    <mergeCell ref="D231:D233"/>
    <mergeCell ref="E231:E233"/>
    <mergeCell ref="B235:J235"/>
    <mergeCell ref="A236:A237"/>
    <mergeCell ref="B236:B237"/>
    <mergeCell ref="A242:D242"/>
    <mergeCell ref="B238:B239"/>
    <mergeCell ref="B221:J221"/>
    <mergeCell ref="B222:B223"/>
    <mergeCell ref="B240:B241"/>
    <mergeCell ref="A238:A239"/>
    <mergeCell ref="A240:A241"/>
    <mergeCell ref="A248:A249"/>
    <mergeCell ref="B248:B249"/>
    <mergeCell ref="A250:A251"/>
    <mergeCell ref="B250:B251"/>
    <mergeCell ref="A252:A253"/>
    <mergeCell ref="B252:B253"/>
    <mergeCell ref="A254:A255"/>
    <mergeCell ref="B254:B255"/>
    <mergeCell ref="A256:A257"/>
    <mergeCell ref="B256:B257"/>
    <mergeCell ref="A258:A259"/>
    <mergeCell ref="B258:B259"/>
    <mergeCell ref="A260:A261"/>
    <mergeCell ref="B260:B261"/>
    <mergeCell ref="A262:A263"/>
    <mergeCell ref="B262:B263"/>
    <mergeCell ref="A264:A265"/>
    <mergeCell ref="B264:B265"/>
    <mergeCell ref="A266:A267"/>
    <mergeCell ref="B266:B267"/>
    <mergeCell ref="A268:A269"/>
    <mergeCell ref="B268:B269"/>
    <mergeCell ref="A270:A271"/>
    <mergeCell ref="B270:B271"/>
    <mergeCell ref="A272:A273"/>
    <mergeCell ref="B272:B273"/>
    <mergeCell ref="A274:A275"/>
    <mergeCell ref="B274:B275"/>
    <mergeCell ref="A276:A277"/>
    <mergeCell ref="B276:B277"/>
    <mergeCell ref="A278:A279"/>
    <mergeCell ref="B278:B279"/>
    <mergeCell ref="A280:A281"/>
    <mergeCell ref="B280:B281"/>
    <mergeCell ref="A282:A283"/>
    <mergeCell ref="B282:B283"/>
    <mergeCell ref="A284:A285"/>
    <mergeCell ref="B284:B285"/>
    <mergeCell ref="A286:A287"/>
    <mergeCell ref="B286:B287"/>
    <mergeCell ref="A288:A289"/>
    <mergeCell ref="B288:B289"/>
    <mergeCell ref="A290:A291"/>
    <mergeCell ref="B290:B291"/>
    <mergeCell ref="A292:A293"/>
    <mergeCell ref="B292:B293"/>
    <mergeCell ref="A294:A295"/>
    <mergeCell ref="B294:B295"/>
    <mergeCell ref="A296:A297"/>
    <mergeCell ref="B296:B297"/>
    <mergeCell ref="A298:A299"/>
    <mergeCell ref="B298:B299"/>
    <mergeCell ref="A300:A301"/>
    <mergeCell ref="B300:B301"/>
    <mergeCell ref="A302:A303"/>
    <mergeCell ref="B302:B303"/>
    <mergeCell ref="A304:A305"/>
    <mergeCell ref="B304:B305"/>
    <mergeCell ref="A306:A307"/>
    <mergeCell ref="B306:B307"/>
    <mergeCell ref="A308:A309"/>
    <mergeCell ref="B308:B309"/>
    <mergeCell ref="A310:A311"/>
    <mergeCell ref="B310:B311"/>
    <mergeCell ref="A312:A313"/>
    <mergeCell ref="B312:B313"/>
    <mergeCell ref="A314:A315"/>
    <mergeCell ref="B314:B315"/>
    <mergeCell ref="A316:A317"/>
    <mergeCell ref="B316:B317"/>
    <mergeCell ref="A318:A319"/>
    <mergeCell ref="B318:B319"/>
    <mergeCell ref="A320:A321"/>
    <mergeCell ref="B320:B321"/>
    <mergeCell ref="A322:A323"/>
    <mergeCell ref="B322:B323"/>
    <mergeCell ref="A324:A325"/>
    <mergeCell ref="B324:B325"/>
    <mergeCell ref="A326:A327"/>
    <mergeCell ref="B326:B327"/>
    <mergeCell ref="A328:A329"/>
    <mergeCell ref="B328:B329"/>
    <mergeCell ref="A330:A331"/>
    <mergeCell ref="B330:B331"/>
    <mergeCell ref="A332:A333"/>
    <mergeCell ref="B332:B333"/>
    <mergeCell ref="A334:A335"/>
    <mergeCell ref="B334:B335"/>
    <mergeCell ref="A336:A337"/>
    <mergeCell ref="B336:B337"/>
    <mergeCell ref="A338:A339"/>
    <mergeCell ref="B338:B339"/>
    <mergeCell ref="A340:A341"/>
    <mergeCell ref="B340:B341"/>
    <mergeCell ref="A342:A343"/>
    <mergeCell ref="B342:B343"/>
    <mergeCell ref="A344:A345"/>
    <mergeCell ref="B344:B345"/>
    <mergeCell ref="A346:A347"/>
    <mergeCell ref="B346:B347"/>
    <mergeCell ref="A348:A349"/>
    <mergeCell ref="B348:B349"/>
    <mergeCell ref="A350:A351"/>
    <mergeCell ref="B350:B351"/>
    <mergeCell ref="A352:A353"/>
    <mergeCell ref="B352:B353"/>
    <mergeCell ref="A354:A355"/>
    <mergeCell ref="B354:B355"/>
    <mergeCell ref="A356:A357"/>
    <mergeCell ref="B356:B357"/>
    <mergeCell ref="A358:A359"/>
    <mergeCell ref="B358:B359"/>
    <mergeCell ref="A360:A361"/>
    <mergeCell ref="B360:B361"/>
    <mergeCell ref="A362:A363"/>
    <mergeCell ref="B362:B363"/>
    <mergeCell ref="A364:A365"/>
    <mergeCell ref="B364:B365"/>
    <mergeCell ref="A366:A367"/>
    <mergeCell ref="B366:B367"/>
    <mergeCell ref="A368:A369"/>
    <mergeCell ref="B368:B369"/>
    <mergeCell ref="A370:A371"/>
    <mergeCell ref="B370:B371"/>
    <mergeCell ref="A372:A373"/>
    <mergeCell ref="B372:B373"/>
    <mergeCell ref="A374:A375"/>
    <mergeCell ref="B374:B375"/>
    <mergeCell ref="A376:A377"/>
    <mergeCell ref="B376:B377"/>
    <mergeCell ref="A378:A379"/>
    <mergeCell ref="B378:B379"/>
    <mergeCell ref="A380:A381"/>
    <mergeCell ref="B380:B381"/>
    <mergeCell ref="A382:A383"/>
    <mergeCell ref="B382:B383"/>
    <mergeCell ref="A384:A385"/>
    <mergeCell ref="B384:B385"/>
    <mergeCell ref="A386:A387"/>
    <mergeCell ref="B386:B387"/>
    <mergeCell ref="A388:A389"/>
    <mergeCell ref="B388:B389"/>
    <mergeCell ref="A390:A391"/>
    <mergeCell ref="B390:B391"/>
    <mergeCell ref="A392:A393"/>
    <mergeCell ref="B392:B393"/>
    <mergeCell ref="A394:A395"/>
    <mergeCell ref="B394:B395"/>
    <mergeCell ref="A396:A397"/>
    <mergeCell ref="B396:B397"/>
    <mergeCell ref="A398:A399"/>
    <mergeCell ref="B398:B399"/>
    <mergeCell ref="A400:A401"/>
    <mergeCell ref="B400:B401"/>
    <mergeCell ref="A402:A403"/>
    <mergeCell ref="B402:B403"/>
    <mergeCell ref="A404:A405"/>
    <mergeCell ref="B404:B405"/>
    <mergeCell ref="A406:A407"/>
    <mergeCell ref="B406:B407"/>
    <mergeCell ref="A408:A409"/>
    <mergeCell ref="B408:B409"/>
    <mergeCell ref="A410:A411"/>
    <mergeCell ref="B410:B411"/>
    <mergeCell ref="A412:A413"/>
    <mergeCell ref="B412:B413"/>
    <mergeCell ref="A414:A415"/>
    <mergeCell ref="B414:B415"/>
    <mergeCell ref="A416:A417"/>
    <mergeCell ref="B416:B417"/>
    <mergeCell ref="A418:A419"/>
    <mergeCell ref="B418:B419"/>
    <mergeCell ref="A420:A421"/>
    <mergeCell ref="B420:B421"/>
    <mergeCell ref="A422:A423"/>
    <mergeCell ref="B422:B423"/>
    <mergeCell ref="A424:A425"/>
    <mergeCell ref="B424:B425"/>
    <mergeCell ref="A426:A427"/>
    <mergeCell ref="B426:B427"/>
    <mergeCell ref="A428:A429"/>
    <mergeCell ref="B428:B429"/>
    <mergeCell ref="A430:A431"/>
    <mergeCell ref="B430:B431"/>
    <mergeCell ref="A432:A433"/>
    <mergeCell ref="B432:B433"/>
    <mergeCell ref="A434:A435"/>
    <mergeCell ref="B434:B435"/>
    <mergeCell ref="A436:A437"/>
    <mergeCell ref="B436:B437"/>
    <mergeCell ref="A438:A439"/>
    <mergeCell ref="B438:B439"/>
    <mergeCell ref="A440:A441"/>
    <mergeCell ref="B440:B441"/>
    <mergeCell ref="A442:A443"/>
    <mergeCell ref="B442:B443"/>
    <mergeCell ref="A444:A445"/>
    <mergeCell ref="B444:B445"/>
    <mergeCell ref="A446:A447"/>
    <mergeCell ref="B446:B447"/>
    <mergeCell ref="A448:A449"/>
    <mergeCell ref="B448:B449"/>
    <mergeCell ref="A450:A451"/>
    <mergeCell ref="B450:B451"/>
    <mergeCell ref="A452:A453"/>
    <mergeCell ref="B452:B453"/>
    <mergeCell ref="A454:A455"/>
    <mergeCell ref="B454:B455"/>
    <mergeCell ref="A456:A457"/>
    <mergeCell ref="B456:B457"/>
    <mergeCell ref="A458:A459"/>
    <mergeCell ref="B458:B459"/>
    <mergeCell ref="A460:A461"/>
    <mergeCell ref="B460:B461"/>
    <mergeCell ref="A462:A463"/>
    <mergeCell ref="B462:B463"/>
    <mergeCell ref="A464:A465"/>
    <mergeCell ref="B464:B465"/>
    <mergeCell ref="A466:A467"/>
    <mergeCell ref="B466:B467"/>
    <mergeCell ref="A468:A469"/>
    <mergeCell ref="B468:B469"/>
    <mergeCell ref="A470:A471"/>
    <mergeCell ref="B470:B471"/>
    <mergeCell ref="A472:A473"/>
    <mergeCell ref="B472:B473"/>
    <mergeCell ref="A474:A475"/>
    <mergeCell ref="B474:B475"/>
    <mergeCell ref="A476:A477"/>
    <mergeCell ref="B476:B477"/>
    <mergeCell ref="A478:A479"/>
    <mergeCell ref="B478:B479"/>
    <mergeCell ref="A480:A481"/>
    <mergeCell ref="B480:B481"/>
    <mergeCell ref="B506:B507"/>
    <mergeCell ref="A508:A509"/>
    <mergeCell ref="B508:B509"/>
    <mergeCell ref="A510:A511"/>
    <mergeCell ref="B510:B511"/>
    <mergeCell ref="A512:A513"/>
    <mergeCell ref="B512:B513"/>
    <mergeCell ref="A514:A515"/>
    <mergeCell ref="B514:B515"/>
    <mergeCell ref="A526:A527"/>
    <mergeCell ref="B526:B527"/>
    <mergeCell ref="B505:J505"/>
    <mergeCell ref="A504:C504"/>
    <mergeCell ref="A222:A223"/>
    <mergeCell ref="A204:A212"/>
    <mergeCell ref="A213:A214"/>
    <mergeCell ref="A498:A499"/>
    <mergeCell ref="B498:B499"/>
    <mergeCell ref="A500:A501"/>
    <mergeCell ref="B500:B501"/>
    <mergeCell ref="A502:A503"/>
    <mergeCell ref="B502:B503"/>
    <mergeCell ref="A488:A489"/>
    <mergeCell ref="B488:B489"/>
    <mergeCell ref="A490:A491"/>
    <mergeCell ref="B490:B491"/>
    <mergeCell ref="A492:A493"/>
    <mergeCell ref="B492:B493"/>
    <mergeCell ref="A494:A495"/>
    <mergeCell ref="B494:B495"/>
    <mergeCell ref="A496:A497"/>
    <mergeCell ref="B496:B497"/>
    <mergeCell ref="B1460:J1460"/>
    <mergeCell ref="A1461:A1462"/>
    <mergeCell ref="A1463:A1464"/>
    <mergeCell ref="A1465:A1466"/>
    <mergeCell ref="B1461:B1462"/>
    <mergeCell ref="B1463:B1464"/>
    <mergeCell ref="B1465:B1466"/>
    <mergeCell ref="A1467:D1467"/>
    <mergeCell ref="A1487:D1487"/>
    <mergeCell ref="A1477:A1478"/>
    <mergeCell ref="B1477:B1478"/>
    <mergeCell ref="A1:K1"/>
    <mergeCell ref="B880:J880"/>
    <mergeCell ref="B906:J906"/>
    <mergeCell ref="B899:B900"/>
    <mergeCell ref="B901:B902"/>
    <mergeCell ref="B903:B904"/>
    <mergeCell ref="A889:A890"/>
    <mergeCell ref="A891:A892"/>
    <mergeCell ref="A893:A894"/>
    <mergeCell ref="A895:A896"/>
    <mergeCell ref="A897:A898"/>
    <mergeCell ref="A899:A900"/>
    <mergeCell ref="A901:A902"/>
    <mergeCell ref="A903:A904"/>
    <mergeCell ref="A482:A483"/>
    <mergeCell ref="B482:B483"/>
    <mergeCell ref="A484:A485"/>
    <mergeCell ref="B484:B485"/>
    <mergeCell ref="A486:A487"/>
    <mergeCell ref="B486:B487"/>
    <mergeCell ref="A506:A507"/>
    <mergeCell ref="A1475:A1476"/>
    <mergeCell ref="B1475:B1476"/>
    <mergeCell ref="A1473:A1474"/>
    <mergeCell ref="B1473:B1474"/>
    <mergeCell ref="A1471:A1472"/>
    <mergeCell ref="B1471:B1472"/>
    <mergeCell ref="A1469:A1470"/>
    <mergeCell ref="B1469:B1470"/>
    <mergeCell ref="B1468:J1468"/>
    <mergeCell ref="A1479:A1480"/>
    <mergeCell ref="B1479:B1480"/>
    <mergeCell ref="A1481:A1482"/>
    <mergeCell ref="B1481:B1482"/>
    <mergeCell ref="A1483:A1484"/>
    <mergeCell ref="B1483:B1484"/>
    <mergeCell ref="A1485:A1486"/>
    <mergeCell ref="B1485:B1486"/>
  </mergeCells>
  <hyperlinks>
    <hyperlink ref="C79" r:id="rId1" display="https://rid.minfin.rk.gov.ru/application/main"/>
  </hyperlinks>
  <pageMargins left="0.7" right="0.7" top="0.75" bottom="0.75" header="0.3" footer="0.3"/>
  <pageSetup paperSize="9" scale="51" fitToHeight="0" orientation="landscape" r:id="rId2"/>
  <rowBreaks count="31" manualBreakCount="31">
    <brk id="18" max="10" man="1"/>
    <brk id="86" max="10" man="1"/>
    <brk id="114" max="10" man="1"/>
    <brk id="128" max="10" man="1"/>
    <brk id="144" max="10" man="1"/>
    <brk id="180" max="10" man="1"/>
    <brk id="202" max="10" man="1"/>
    <brk id="285" max="10" man="1"/>
    <brk id="305" max="10" man="1"/>
    <brk id="325" max="10" man="1"/>
    <brk id="345" max="10" man="1"/>
    <brk id="365" max="10" man="1"/>
    <brk id="387" max="10" man="1"/>
    <brk id="411" max="10" man="1"/>
    <brk id="433" max="10" man="1"/>
    <brk id="481" max="10" man="1"/>
    <brk id="504" max="10" man="1"/>
    <brk id="828" max="10" man="1"/>
    <brk id="876" max="10" man="1"/>
    <brk id="914" max="10" man="1"/>
    <brk id="1057" max="10" man="1"/>
    <brk id="1083" max="10" man="1"/>
    <brk id="1126" max="10" man="1"/>
    <brk id="1200" max="10" man="1"/>
    <brk id="1244" max="10" man="1"/>
    <brk id="1296" max="10" man="1"/>
    <brk id="1345" max="10" man="1"/>
    <brk id="1371" max="10" man="1"/>
    <brk id="1389" max="10" man="1"/>
    <brk id="1411" max="10" man="1"/>
    <brk id="1432" max="10" man="1"/>
  </rowBreaks>
  <ignoredErrors>
    <ignoredError sqref="A275:A283 A285 A287 A289 A291 A293 A295 A297 A299 A301 A303 A305 A307 A309 A313 A31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2020-12-03T16:39:02Z</dcterms:modified>
</cp:coreProperties>
</file>